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8880" windowHeight="12560" firstSheet="23" activeTab="23"/>
  </bookViews>
  <sheets>
    <sheet name="Anderson et al 1" sheetId="1" r:id="rId1"/>
    <sheet name="Anderson et al 2" sheetId="2" r:id="rId2"/>
    <sheet name="Bennett et al 1997" sheetId="3" r:id="rId3"/>
    <sheet name="Bennett et al 1999" sheetId="4" r:id="rId4"/>
    <sheet name="Bennett et al 1996" sheetId="5" r:id="rId5"/>
    <sheet name="Bennett et al 1985" sheetId="6" r:id="rId6"/>
    <sheet name="Bennett and Smaldone" sheetId="7" r:id="rId7"/>
    <sheet name="Bennett and Zeman" sheetId="8" r:id="rId8"/>
    <sheet name="Chan and Lippman" sheetId="9" r:id="rId9"/>
    <sheet name="Giacomelli-Maltoni et al 1972" sheetId="10" r:id="rId10"/>
    <sheet name="Heyder et al 1982" sheetId="11" r:id="rId11"/>
    <sheet name="Heyder and Rudolf" sheetId="12" r:id="rId12"/>
    <sheet name="Kim and Hu 1998" sheetId="13" r:id="rId13"/>
    <sheet name="Kim and Kang 1997" sheetId="14" r:id="rId14"/>
    <sheet name="Lippman and Albert" sheetId="15" r:id="rId15"/>
    <sheet name="L&amp;A con." sheetId="16" r:id="rId16"/>
    <sheet name="Love and Muir" sheetId="17" r:id="rId17"/>
    <sheet name="Melandri et al" sheetId="18" r:id="rId18"/>
    <sheet name="Pritchard et al 1988" sheetId="19" r:id="rId19"/>
    <sheet name="Schiller-Scotland et al 1994 a" sheetId="20" r:id="rId20"/>
    <sheet name="Schiller-Scotland et al 1994 b" sheetId="21" r:id="rId21"/>
    <sheet name="Stahlhofen et al" sheetId="22" r:id="rId22"/>
    <sheet name="Tarroni et al" sheetId="23" r:id="rId23"/>
    <sheet name="Combined Df variability" sheetId="24" r:id="rId24"/>
    <sheet name="particle size picture" sheetId="25" r:id="rId25"/>
    <sheet name="particle size picture 2" sheetId="26" r:id="rId26"/>
    <sheet name="particle size" sheetId="27" r:id="rId27"/>
    <sheet name="Ve variability summary" sheetId="28" r:id="rId28"/>
    <sheet name="Ve variability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<sst xmlns="http://schemas.openxmlformats.org/spreadsheetml/2006/main" count="4721" uniqueCount="615">
  <si>
    <t>DFfix(contr)</t>
  </si>
  <si>
    <t>logGeoMean</t>
  </si>
  <si>
    <t>logGEOMean</t>
  </si>
  <si>
    <t>d=0.25 um, resp./min.=6, Vt=1.5 L</t>
  </si>
  <si>
    <t>d=0.25 um, resp./min.=6, Vt=2.0 L</t>
  </si>
  <si>
    <t>related to Vt, so they standardized DFs by interpolating on the regression line to a Vt of 1.6 L.</t>
  </si>
  <si>
    <t>Group</t>
  </si>
  <si>
    <t>smokers</t>
  </si>
  <si>
    <t>ex-smokers</t>
  </si>
  <si>
    <t>nonsmokers</t>
  </si>
  <si>
    <t xml:space="preserve">I'm assuming that the tables report standardized values. Also, exercising was worked in to these </t>
  </si>
  <si>
    <t>measurements somehow (Unclear in the paper). Also, 19 of the 58 miners were pneumoconiotics.</t>
  </si>
  <si>
    <t>Particles were 1 um.</t>
  </si>
  <si>
    <t>9 healthy adults</t>
  </si>
  <si>
    <t>d</t>
  </si>
  <si>
    <t>5.0 um</t>
  </si>
  <si>
    <t>d=0.5 um, resp./min.=12, Vt=0.75 L</t>
  </si>
  <si>
    <t>d=0.5 um, resp./min.=12, Vt=1.5 L</t>
  </si>
  <si>
    <t>d=0.5 um, resp./min.=12, Vt=2.0 L</t>
  </si>
  <si>
    <t>d=0.5 um, resp./min.=20, Vt=0.75 L</t>
  </si>
  <si>
    <t>d=0.5 um, resp./min.=20, Vt=1.5 L</t>
  </si>
  <si>
    <t>d=0.5 um, resp./min.=20, Vt=2.0 L</t>
  </si>
  <si>
    <t>H-66T</t>
  </si>
  <si>
    <t>H-36</t>
  </si>
  <si>
    <t>individual averages</t>
  </si>
  <si>
    <t>Heyder et al 1982</t>
  </si>
  <si>
    <t>Resting Ve</t>
  </si>
  <si>
    <t>Ve after exercise</t>
  </si>
  <si>
    <t>combined adults and children logGSDs</t>
  </si>
  <si>
    <t>tb</t>
  </si>
  <si>
    <t>et</t>
  </si>
  <si>
    <t>alv</t>
  </si>
  <si>
    <t>[-ln(1-Df]</t>
  </si>
  <si>
    <t>n=6</t>
  </si>
  <si>
    <t>n-1</t>
  </si>
  <si>
    <t xml:space="preserve">* mp:spontaneous. rt:controlled at each individual's natural pattern. fix:controlled at 6.3 L/min for all sub.  </t>
  </si>
  <si>
    <t xml:space="preserve">mean </t>
  </si>
  <si>
    <t>18-40 yr (n=22)</t>
  </si>
  <si>
    <t>40-60 yr (n=29)</t>
  </si>
  <si>
    <t>60-80 yr (n=11)</t>
  </si>
  <si>
    <t>males (n=25)</t>
  </si>
  <si>
    <t>females (n=37)</t>
  </si>
  <si>
    <t>H-34</t>
  </si>
  <si>
    <t>H-4</t>
  </si>
  <si>
    <t>Geo Mean^2</t>
  </si>
  <si>
    <t>7.0 um</t>
  </si>
  <si>
    <t>EXTRATHORACIC DEPOSITION</t>
  </si>
  <si>
    <t>TRACHEOBRONCHIAL DEPOSITION</t>
  </si>
  <si>
    <t>ALVEOLAR DEPOSITION</t>
  </si>
  <si>
    <t>n=12</t>
  </si>
  <si>
    <t>LogGSDtotal</t>
  </si>
  <si>
    <t>LogGSDadults</t>
  </si>
  <si>
    <t>LogGSDkids</t>
  </si>
  <si>
    <t>.075 um</t>
  </si>
  <si>
    <t>Mouth/pharynx/larynx deposition fractions</t>
  </si>
  <si>
    <t>d=0.25 um, resp./min.=6, Vt=0.75 L</t>
  </si>
  <si>
    <t>d=0.25 um, resp./min.=12, Vt=1.5 L</t>
  </si>
  <si>
    <t>d=0.25 um, resp./min.=12, Vt=2.0 L</t>
  </si>
  <si>
    <t>d=0.25 um, resp./min.=20, Vt=0.75 L</t>
  </si>
  <si>
    <t>log GSD</t>
  </si>
  <si>
    <t>Log (Ve)</t>
  </si>
  <si>
    <t>Bennett and Smaldone</t>
  </si>
  <si>
    <t>n=20</t>
  </si>
  <si>
    <t>n=21</t>
  </si>
  <si>
    <t>n=22</t>
  </si>
  <si>
    <t>ET dep s.d.</t>
  </si>
  <si>
    <t>mean total DI</t>
  </si>
  <si>
    <t>total DI s.d.</t>
  </si>
  <si>
    <t>Normal adults</t>
  </si>
  <si>
    <t>n</t>
  </si>
  <si>
    <t>mean ET dep.</t>
  </si>
  <si>
    <t>Deposition Fraction at various particle sizes (microns)</t>
  </si>
  <si>
    <t>[-ln(1-Df)]</t>
  </si>
  <si>
    <t>Deposition in OLD patients was higher than in normal patients, and significantly so for particles of size 0.04-0.24 microns.</t>
  </si>
  <si>
    <t>Chan and Lippman 1980</t>
  </si>
  <si>
    <t>diameter</t>
  </si>
  <si>
    <t>Alv. DF</t>
  </si>
  <si>
    <t>DF tb</t>
  </si>
  <si>
    <t>Kim and Kang 1997: Comparative Measurements of Lung Deposition of Inhaled Fine Particles in Normal Subjects and Patients with Obstructive Airway Disease</t>
  </si>
  <si>
    <t>Vt = .5 L, 30 breaths/minute</t>
  </si>
  <si>
    <t>NORMAL</t>
  </si>
  <si>
    <t>6 M</t>
  </si>
  <si>
    <t>27 +- 3 yrs</t>
  </si>
  <si>
    <t>ASYMPTOMATIC</t>
  </si>
  <si>
    <t>SMOKERS</t>
  </si>
  <si>
    <t>5 M</t>
  </si>
  <si>
    <t>27 +- 5 yrs</t>
  </si>
  <si>
    <t>Dt</t>
  </si>
  <si>
    <t>SMOKERS W/</t>
  </si>
  <si>
    <t>SMALL AIRWAY DISEASE</t>
  </si>
  <si>
    <t>8 M</t>
  </si>
  <si>
    <t>37 +- 11 yrs</t>
  </si>
  <si>
    <t>ASTHMATICS</t>
  </si>
  <si>
    <t>2 M</t>
  </si>
  <si>
    <t>48 +- 15 yrs</t>
  </si>
  <si>
    <t>COPD</t>
  </si>
  <si>
    <t>61 +- 11 yrs</t>
  </si>
  <si>
    <t>logGSD total</t>
  </si>
  <si>
    <t>DF Total</t>
  </si>
  <si>
    <t>d=1.8 um, resp./min.=20, Vt=2.0 L</t>
  </si>
  <si>
    <t>d=0.50 um</t>
  </si>
  <si>
    <t>d=0.70 um</t>
  </si>
  <si>
    <t>Giacomelli-Maltoni et al 1972: deposition efficiency of monodisperse particles in human respiratory tract</t>
  </si>
  <si>
    <t>Nose in-mouth out, 12 L/min</t>
  </si>
  <si>
    <r>
      <t>neg.ln(1-</t>
    </r>
    <r>
      <rPr>
        <sz val="9"/>
        <color indexed="53"/>
        <rFont val="Geneva"/>
        <family val="0"/>
      </rPr>
      <t>AH</t>
    </r>
    <r>
      <rPr>
        <sz val="9"/>
        <rFont val="Geneva"/>
        <family val="0"/>
      </rPr>
      <t>)</t>
    </r>
  </si>
  <si>
    <t>particle size = 2.6 um</t>
  </si>
  <si>
    <t>r</t>
  </si>
  <si>
    <t>fraction retained at 24 h</t>
  </si>
  <si>
    <t>B24</t>
  </si>
  <si>
    <t>ind. mean</t>
  </si>
  <si>
    <t>The tests with particles around 1.8 microns were not related to particle size and those above 2 microns were, because of the ranges of particle sizes used.</t>
  </si>
  <si>
    <t xml:space="preserve">data taken from graph with DataThief. </t>
  </si>
  <si>
    <t>(the way they were depicted requires that some values be identical)</t>
  </si>
  <si>
    <t>7 microns</t>
  </si>
  <si>
    <t>5 microns</t>
  </si>
  <si>
    <t>3 microns</t>
  </si>
  <si>
    <t>1 micron</t>
  </si>
  <si>
    <t xml:space="preserve">DF </t>
  </si>
  <si>
    <t>1.0-7.0</t>
  </si>
  <si>
    <t>Schiller-Scotland et al 1994: Particle deposition in the respiratory tract of children during spontaneous and controlled breathing</t>
  </si>
  <si>
    <t>spontaneous breathing</t>
  </si>
  <si>
    <t>19.32(4.62)</t>
  </si>
  <si>
    <t>Ve(L/min.)(s.d.)</t>
  </si>
  <si>
    <t>controlled breathing</t>
  </si>
  <si>
    <t>particle d (um)</t>
  </si>
  <si>
    <t>mean total DE</t>
  </si>
  <si>
    <t>GSD</t>
  </si>
  <si>
    <t>subject</t>
  </si>
  <si>
    <t>SPONT&gt;</t>
  </si>
  <si>
    <t>d=1</t>
  </si>
  <si>
    <t>d=2.3</t>
  </si>
  <si>
    <t>CONTR&gt;</t>
  </si>
  <si>
    <t>DE</t>
  </si>
  <si>
    <t>LOG10</t>
  </si>
  <si>
    <t xml:space="preserve"> </t>
  </si>
  <si>
    <t>Heyder and Rudolf 1975: deposition of aerosol particles in the human nose</t>
  </si>
  <si>
    <t>0.5 um</t>
  </si>
  <si>
    <t>15L/min</t>
  </si>
  <si>
    <t>Vt= .5 L</t>
  </si>
  <si>
    <t>median</t>
  </si>
  <si>
    <t>geo mean</t>
  </si>
  <si>
    <t>log geo mean</t>
  </si>
  <si>
    <t>log Geo mean</t>
  </si>
  <si>
    <t>Breathing data from the studies: Minute Ventilation (liters per minute): work</t>
  </si>
  <si>
    <t>lo geo mean</t>
  </si>
  <si>
    <t>GM</t>
  </si>
  <si>
    <t>d=0.7 um, resp./min.=12, Vt=0.75 L</t>
  </si>
  <si>
    <t>d=0.7 um, resp./min.=12, Vt=1.5 L</t>
  </si>
  <si>
    <t>J. Heyder et al 1982, biological variability of particle deposition in the human respiratory tract during controlled and spontaneous mouth breathing. Ann Occup Hyg 26(1-4):137-147.</t>
  </si>
  <si>
    <t>d(um)</t>
  </si>
  <si>
    <t>mean De</t>
  </si>
  <si>
    <t>20 subjects, multiple tests (7 or more each)</t>
  </si>
  <si>
    <t>CONTROLLED BREATHING</t>
  </si>
  <si>
    <t>SPONTANEOUS BREATHING</t>
  </si>
  <si>
    <t>at some point, the authors changed the deposition values. They found DF to be approx. linearly</t>
  </si>
  <si>
    <t>IIIc: 0.7 microns</t>
  </si>
  <si>
    <t>logGM</t>
  </si>
  <si>
    <t>GeoMean</t>
  </si>
  <si>
    <t>LOGgeoMean</t>
  </si>
  <si>
    <t>LOG GSD (1-HIT)</t>
  </si>
  <si>
    <t>logGEOMEAN</t>
  </si>
  <si>
    <t>LogGM</t>
  </si>
  <si>
    <t>Vt (tidal vol)</t>
  </si>
  <si>
    <t>T (breath period)</t>
  </si>
  <si>
    <t>Ve (min vent)</t>
  </si>
  <si>
    <t>Drate</t>
  </si>
  <si>
    <t>FRC</t>
  </si>
  <si>
    <t>mean of runs</t>
  </si>
  <si>
    <t>neutral</t>
  </si>
  <si>
    <t>charged</t>
  </si>
  <si>
    <t>sd</t>
  </si>
  <si>
    <t>neg ln (1-Df)</t>
  </si>
  <si>
    <t xml:space="preserve">DEPOSITION FRACTIONS </t>
  </si>
  <si>
    <t>Neg. Ln (1-Df)</t>
  </si>
  <si>
    <t>neg.ln(1-Df)</t>
  </si>
  <si>
    <t>Log column P</t>
  </si>
  <si>
    <t>neg.ln(1-column N)</t>
  </si>
  <si>
    <t>Deposition Fractions</t>
  </si>
  <si>
    <t>Negative Ln(1-Deposition Fraction)</t>
  </si>
  <si>
    <t>Deposition</t>
  </si>
  <si>
    <t>Negative Ln (1-Deposition)</t>
  </si>
  <si>
    <t>Negative Ln(1-Deposition fraction)</t>
  </si>
  <si>
    <t>Deposition fraction</t>
  </si>
  <si>
    <t>Deposition fractions</t>
  </si>
  <si>
    <t>breath/min</t>
  </si>
  <si>
    <t>tidal vol (L)</t>
  </si>
  <si>
    <t>Table III: Controlled at various combinations</t>
  </si>
  <si>
    <t>IIIa: 0.25 microns</t>
  </si>
  <si>
    <t>IIIb: 0.5 microns</t>
  </si>
  <si>
    <t xml:space="preserve">combined </t>
  </si>
  <si>
    <t>Total deposition fractions</t>
  </si>
  <si>
    <t>d=1.2 um, resp./min.=12, Vt=2.0 L</t>
  </si>
  <si>
    <t>Normal breathing</t>
  </si>
  <si>
    <t>.024 um</t>
  </si>
  <si>
    <t>.042 um</t>
  </si>
  <si>
    <t>d=0.25 um, resp./min.=20, Vt=2.0 L</t>
  </si>
  <si>
    <r>
      <t>Log(</t>
    </r>
    <r>
      <rPr>
        <sz val="9"/>
        <color indexed="53"/>
        <rFont val="Geneva"/>
        <family val="0"/>
      </rPr>
      <t>AL</t>
    </r>
    <r>
      <rPr>
        <sz val="9"/>
        <rFont val="Geneva"/>
        <family val="0"/>
      </rPr>
      <t>)</t>
    </r>
  </si>
  <si>
    <t>CONTROLLED</t>
  </si>
  <si>
    <r>
      <t>neg.ln(1-</t>
    </r>
    <r>
      <rPr>
        <sz val="9"/>
        <color indexed="53"/>
        <rFont val="Geneva"/>
        <family val="0"/>
      </rPr>
      <t>N</t>
    </r>
    <r>
      <rPr>
        <sz val="9"/>
        <rFont val="Geneva"/>
        <family val="0"/>
      </rPr>
      <t>)</t>
    </r>
  </si>
  <si>
    <r>
      <t>Log (</t>
    </r>
    <r>
      <rPr>
        <sz val="9"/>
        <color indexed="53"/>
        <rFont val="Geneva"/>
        <family val="0"/>
      </rPr>
      <t>R</t>
    </r>
    <r>
      <rPr>
        <sz val="9"/>
        <rFont val="Geneva"/>
        <family val="0"/>
      </rPr>
      <t>)</t>
    </r>
  </si>
  <si>
    <t>d=0.5 um, resp./min.=6, Vt=1.5 L</t>
  </si>
  <si>
    <t>d=1.2 um, resp./min.=6, Vt=0.75 L</t>
  </si>
  <si>
    <t>d=1.2 um, resp./min.=6, Vt=1.5 L</t>
  </si>
  <si>
    <t>d=1.2 um, resp./min.=6, Vt=2.0 L</t>
  </si>
  <si>
    <t>d=1.2 um, resp./min.=12, Vt=0.75 L</t>
  </si>
  <si>
    <t>DF(lung)</t>
  </si>
  <si>
    <t>exercise</t>
  </si>
  <si>
    <t>LogDF</t>
  </si>
  <si>
    <t>2.6 um</t>
  </si>
  <si>
    <t>Melandri et al 1975: on the deposition of unipolarly charged particles in the human respiratory tract</t>
  </si>
  <si>
    <t>FM</t>
  </si>
  <si>
    <t>DZT</t>
  </si>
  <si>
    <t>MC</t>
  </si>
  <si>
    <t>BG</t>
  </si>
  <si>
    <t>part. size</t>
  </si>
  <si>
    <t>.65 um</t>
  </si>
  <si>
    <t>.33 um</t>
  </si>
  <si>
    <t>1.1 um</t>
  </si>
  <si>
    <t>log</t>
  </si>
  <si>
    <t>Anderson et al 1988: deposition of 0.02-0.2 um particles in the human respiratory tract: effects of variations in respiratory pattern</t>
  </si>
  <si>
    <t>all means are of three tests each on 9 adult males</t>
  </si>
  <si>
    <t>Schiller-Scotland et al 1994: experimental deposition for total deposition in the respiratory tract of children</t>
  </si>
  <si>
    <t>d (um)</t>
  </si>
  <si>
    <t>cm3/s</t>
  </si>
  <si>
    <t>L/min</t>
  </si>
  <si>
    <t>LogDE</t>
  </si>
  <si>
    <t>Cystic fibrosis children</t>
  </si>
  <si>
    <t>Cystic fibrosis adults</t>
  </si>
  <si>
    <t>photo01.htm</t>
  </si>
  <si>
    <t>Bennett et al 1997: extrathoracic deposition of inhaled, coarse particles (4.5 um) in children v adults</t>
  </si>
  <si>
    <t>d=0.7 um, resp./min.=6, Vt=0.75 L</t>
  </si>
  <si>
    <t>Table II: SPONTANEOUS BREATHING</t>
  </si>
  <si>
    <t>Table I: CONTROLLED BREATHING</t>
  </si>
  <si>
    <t xml:space="preserve">Chan, T.L. and M. Lippman, 1980: experimental measurements and empirical modeling of the regional deposition </t>
  </si>
  <si>
    <t>the data was read from charts usinf DataThief; three visually distinct subgroups were present and are plotted against particle size below. Generally,</t>
  </si>
  <si>
    <t>26 healthy adults</t>
  </si>
  <si>
    <t>c.v.</t>
  </si>
  <si>
    <t>Stahlhofen et al 1981: biological variability of regional deposition of aerosol particles in the human respiratory tract</t>
  </si>
  <si>
    <t>H-62A</t>
  </si>
  <si>
    <t>H-62T</t>
  </si>
  <si>
    <t>H-61T</t>
  </si>
  <si>
    <r>
      <t>Log (</t>
    </r>
    <r>
      <rPr>
        <sz val="9"/>
        <color indexed="53"/>
        <rFont val="Geneva"/>
        <family val="0"/>
      </rPr>
      <t>P</t>
    </r>
    <r>
      <rPr>
        <sz val="9"/>
        <rFont val="Geneva"/>
        <family val="0"/>
      </rPr>
      <t>)</t>
    </r>
  </si>
  <si>
    <t>ind. averages</t>
  </si>
  <si>
    <t>Log (AL)</t>
  </si>
  <si>
    <t>Log(Z)</t>
  </si>
  <si>
    <t>Log(AB)</t>
  </si>
  <si>
    <t>7 subjects</t>
  </si>
  <si>
    <t>logGSD(-ln(1-Df))</t>
  </si>
  <si>
    <r>
      <t xml:space="preserve">Older data for men </t>
    </r>
    <r>
      <rPr>
        <b/>
        <sz val="9"/>
        <color indexed="15"/>
        <rFont val="Trebuchet MS"/>
        <family val="0"/>
      </rPr>
      <t xml:space="preserve">(from Pritchard et al 1980: p245 in Aerosols in Science, Medicine and Technology 8) </t>
    </r>
  </si>
  <si>
    <t>d=1.8 um, resp./min.=6, Vt=2.0 L</t>
  </si>
  <si>
    <t>d=1.8 um, resp./min.=12, Vt=0.75 L</t>
  </si>
  <si>
    <t>d=1.8 um, resp./min.=12, Vt=1.5 L</t>
  </si>
  <si>
    <t>d=1.8 um, resp./min.=12, Vt=2.0 L</t>
  </si>
  <si>
    <t>d=1.8 um, resp./min.=20, Vt=0.75 L</t>
  </si>
  <si>
    <t>Lippman and Albert</t>
  </si>
  <si>
    <t>ind. mean Ve</t>
  </si>
  <si>
    <t>H-27A</t>
  </si>
  <si>
    <t>H-27T</t>
  </si>
  <si>
    <t>x</t>
  </si>
  <si>
    <t># occurences</t>
  </si>
  <si>
    <t>#&lt;/= x</t>
  </si>
  <si>
    <t>Tarroni et al 1980: An indication on the biological variability of aerosol total deposition in humans.</t>
  </si>
  <si>
    <t>Subject</t>
  </si>
  <si>
    <t>H-31A</t>
  </si>
  <si>
    <t>H-31T</t>
  </si>
  <si>
    <t>H-52A</t>
  </si>
  <si>
    <t>H-52T</t>
  </si>
  <si>
    <t>H-29A</t>
  </si>
  <si>
    <t>H-29T</t>
  </si>
  <si>
    <t>H-37</t>
  </si>
  <si>
    <t>H-47A</t>
  </si>
  <si>
    <t>H-47T</t>
  </si>
  <si>
    <t>H-64A</t>
  </si>
  <si>
    <t>H-64T</t>
  </si>
  <si>
    <t>H-16</t>
  </si>
  <si>
    <t>H-12</t>
  </si>
  <si>
    <t>H-14</t>
  </si>
  <si>
    <t>H-9</t>
  </si>
  <si>
    <t>Alveolar deposition fractions</t>
  </si>
  <si>
    <r>
      <t>Log (</t>
    </r>
    <r>
      <rPr>
        <sz val="9"/>
        <color indexed="53"/>
        <rFont val="Geneva"/>
        <family val="0"/>
      </rPr>
      <t>AT</t>
    </r>
    <r>
      <rPr>
        <sz val="9"/>
        <rFont val="Geneva"/>
        <family val="0"/>
      </rPr>
      <t>)</t>
    </r>
  </si>
  <si>
    <r>
      <t>neg.ln(1-</t>
    </r>
    <r>
      <rPr>
        <sz val="9"/>
        <color indexed="53"/>
        <rFont val="Geneva"/>
        <family val="0"/>
      </rPr>
      <t>AR</t>
    </r>
    <r>
      <rPr>
        <sz val="9"/>
        <rFont val="Geneva"/>
        <family val="0"/>
      </rPr>
      <t>)</t>
    </r>
  </si>
  <si>
    <r>
      <t>Log(</t>
    </r>
    <r>
      <rPr>
        <sz val="9"/>
        <color indexed="53"/>
        <rFont val="Geneva"/>
        <family val="0"/>
      </rPr>
      <t>AV</t>
    </r>
    <r>
      <rPr>
        <sz val="9"/>
        <rFont val="Geneva"/>
        <family val="0"/>
      </rPr>
      <t>)</t>
    </r>
  </si>
  <si>
    <t>Log (AT)</t>
  </si>
  <si>
    <t>neg.ln(1-AR)</t>
  </si>
  <si>
    <t>Log (AV)</t>
  </si>
  <si>
    <t>MH</t>
  </si>
  <si>
    <t>EK</t>
  </si>
  <si>
    <t>KK</t>
  </si>
  <si>
    <t>GL</t>
  </si>
  <si>
    <t>ML</t>
  </si>
  <si>
    <t>SL</t>
  </si>
  <si>
    <t>FN</t>
  </si>
  <si>
    <t>AO</t>
  </si>
  <si>
    <t>HTP</t>
  </si>
  <si>
    <t>JR</t>
  </si>
  <si>
    <t>ex</t>
  </si>
  <si>
    <t>total</t>
  </si>
  <si>
    <t>lung</t>
  </si>
  <si>
    <t>combined spontaneous logGSDs</t>
  </si>
  <si>
    <t>^2</t>
  </si>
  <si>
    <t>combined spontaneous logGSD</t>
  </si>
  <si>
    <t>Pritchard et al 1988: regional deposition of 2.5 to 5.0 um polystyrene microspheres inhaled by women</t>
  </si>
  <si>
    <t>13 subjects ages 20-69</t>
  </si>
  <si>
    <t># of tests</t>
  </si>
  <si>
    <t>mean DF</t>
  </si>
  <si>
    <t>TOTAL DEPOSITION</t>
  </si>
  <si>
    <t>UPPER RESPIRATORY TRACT</t>
  </si>
  <si>
    <t>TRACHEOBRONCHIAL REGION</t>
  </si>
  <si>
    <t>PULMONARY REGION</t>
  </si>
  <si>
    <t>0.3 um</t>
  </si>
  <si>
    <t>0.6 um</t>
  </si>
  <si>
    <t>1.5 um</t>
  </si>
  <si>
    <t>Log(DE)</t>
  </si>
  <si>
    <t>0.6 um (one year later)</t>
  </si>
  <si>
    <t>15 (smoker)</t>
  </si>
  <si>
    <t>24 (smoker)</t>
  </si>
  <si>
    <t>Mean</t>
  </si>
  <si>
    <t>Total DE</t>
  </si>
  <si>
    <t>weight (lbs)</t>
  </si>
  <si>
    <t>d=0.7 um, resp./min.=20, Vt=2.0 L</t>
  </si>
  <si>
    <t>IIId: 1.2 microns</t>
  </si>
  <si>
    <r>
      <t xml:space="preserve">Bennett, W.D., and K.L. Zeman. 1988. Deposition of Fine Particles in Childrean Spontaneously Breathing at Rest. </t>
    </r>
    <r>
      <rPr>
        <b/>
        <i/>
        <sz val="14"/>
        <color indexed="50"/>
        <rFont val="Trebuchet MS"/>
        <family val="0"/>
      </rPr>
      <t>Inhalation Toxicology</t>
    </r>
    <r>
      <rPr>
        <b/>
        <sz val="14"/>
        <color indexed="50"/>
        <rFont val="Trebuchet MS"/>
        <family val="0"/>
      </rPr>
      <t xml:space="preserve"> 10:831</t>
    </r>
  </si>
  <si>
    <r>
      <t xml:space="preserve">Lippmann, M. and R.E. Albert, 1969. The Effect of Particle Size on the Regional Deposition of Inhaled Aerosols in the Human Respiratory Tract. </t>
    </r>
    <r>
      <rPr>
        <b/>
        <i/>
        <sz val="14"/>
        <color indexed="51"/>
        <rFont val="Trebuchet MS"/>
        <family val="0"/>
      </rPr>
      <t>Am. Ind. Hyg. Assoc. J.</t>
    </r>
    <r>
      <rPr>
        <b/>
        <sz val="14"/>
        <color indexed="51"/>
        <rFont val="Trebuchet MS"/>
        <family val="0"/>
      </rPr>
      <t xml:space="preserve"> May-June, p. 257.</t>
    </r>
  </si>
  <si>
    <t>Ratio</t>
  </si>
  <si>
    <t># &lt;= x</t>
  </si>
  <si>
    <t>Vt= 1.0 L</t>
  </si>
  <si>
    <t>Vt= 1.5 L</t>
  </si>
  <si>
    <t>Vt= 2.0 L</t>
  </si>
  <si>
    <t>1.0 um</t>
  </si>
  <si>
    <t>mean lung DI</t>
  </si>
  <si>
    <t>lung DI s.d.</t>
  </si>
  <si>
    <t>S.D.</t>
  </si>
  <si>
    <t>Mean (total)</t>
  </si>
  <si>
    <t>s.d. (total)</t>
  </si>
  <si>
    <t>Mean (adults)</t>
  </si>
  <si>
    <t>s.d. (adults)</t>
  </si>
  <si>
    <t>Mean (kids)</t>
  </si>
  <si>
    <t>s.d. (kids)</t>
  </si>
  <si>
    <t>n=27</t>
  </si>
  <si>
    <t>n=39</t>
  </si>
  <si>
    <t>log(x)</t>
  </si>
  <si>
    <t>logGSD</t>
  </si>
  <si>
    <t>subject no.</t>
  </si>
  <si>
    <t>d=1.8 um, resp./min.=20, Vt=1.5 L</t>
  </si>
  <si>
    <t>Table IV: Controlled, mouth in-mouth out</t>
  </si>
  <si>
    <t>12 resp./min., Vt=1.0 L</t>
  </si>
  <si>
    <t>Vt=0.75L</t>
  </si>
  <si>
    <t>Vt=2L</t>
  </si>
  <si>
    <t>H-17</t>
  </si>
  <si>
    <t>H-10</t>
  </si>
  <si>
    <t>H-11</t>
  </si>
  <si>
    <t>H-6</t>
  </si>
  <si>
    <t>H-15</t>
  </si>
  <si>
    <t>part size, um</t>
  </si>
  <si>
    <t>Ve (L/min)</t>
  </si>
  <si>
    <t>GVS</t>
  </si>
  <si>
    <t>H-51A</t>
  </si>
  <si>
    <t>H-51T</t>
  </si>
  <si>
    <t>NC</t>
  </si>
  <si>
    <t>RD</t>
  </si>
  <si>
    <r>
      <t xml:space="preserve">Bennett, William D. and Gerald C. Smaldone. 1987. Human Variation in the Peripheral Air-Space Deposition of Inhaled Particles. </t>
    </r>
    <r>
      <rPr>
        <b/>
        <i/>
        <sz val="14"/>
        <color indexed="50"/>
        <rFont val="Trebuchet MS"/>
        <family val="0"/>
      </rPr>
      <t>J Appl Physiol.</t>
    </r>
    <r>
      <rPr>
        <b/>
        <sz val="14"/>
        <color indexed="50"/>
        <rFont val="Trebuchet MS"/>
        <family val="0"/>
      </rPr>
      <t xml:space="preserve"> 62(4):1603-1610.</t>
    </r>
  </si>
  <si>
    <t>H-50A</t>
  </si>
  <si>
    <t>H-50T</t>
  </si>
  <si>
    <t>H-56A</t>
  </si>
  <si>
    <t>H-56T</t>
  </si>
  <si>
    <t>H-58T</t>
  </si>
  <si>
    <t>SE</t>
  </si>
  <si>
    <t>Neg. Ln(1-Deposition fraction)</t>
  </si>
  <si>
    <t>Love and Muir 1976: aerosol deposition and airway obstruction</t>
  </si>
  <si>
    <t>Mean Flow rate</t>
  </si>
  <si>
    <t>(L/min)</t>
  </si>
  <si>
    <t>Bennett and Zeman 1998</t>
  </si>
  <si>
    <t>Lippman and Albert 1969</t>
  </si>
  <si>
    <t>Bennett and Smaldone 1987</t>
  </si>
  <si>
    <t>resting</t>
  </si>
  <si>
    <t>after exercise</t>
  </si>
  <si>
    <t>Schiller-Scotland et al 1994</t>
  </si>
  <si>
    <t>round 1</t>
  </si>
  <si>
    <t>round 2</t>
  </si>
  <si>
    <t>round 3</t>
  </si>
  <si>
    <t>Giacomelli-Maltoni et al 1972</t>
  </si>
  <si>
    <t>round 4</t>
  </si>
  <si>
    <t>SPONTANEOUS BREATHING AFTER EXCERCISE</t>
  </si>
  <si>
    <t>GSD{exp(square root of(ln((s.d.^2)/(mean^2)+1))}</t>
  </si>
  <si>
    <t>LogGSD</t>
  </si>
  <si>
    <t>DFmp</t>
  </si>
  <si>
    <t>DFrt</t>
  </si>
  <si>
    <t>Df</t>
  </si>
  <si>
    <t>Log(Df)</t>
  </si>
  <si>
    <t>H-19</t>
  </si>
  <si>
    <t>H-21</t>
  </si>
  <si>
    <t>Anderson et al 1990: Respiratory Tract Deposition of Ultrafine Particles in Subjects with Obstructive or Restrictive Lung Disease</t>
  </si>
  <si>
    <t>(Chest 97(5): 115)</t>
  </si>
  <si>
    <t>Vt of 1 liter, 12 breaths/min.</t>
  </si>
  <si>
    <t>age (yrs)</t>
  </si>
  <si>
    <t>Restrictive lung disease</t>
  </si>
  <si>
    <t>Obstructive Lung Disease</t>
  </si>
  <si>
    <t xml:space="preserve">Subjects with mild to moderate obstructive lung disease, all smokers (3M,2F) and restrictive lung disease, all nonsmokers (3F) </t>
  </si>
  <si>
    <t>compared with normal subjects (Anderson et al 1, this workbook)</t>
  </si>
  <si>
    <t>d=0.25 um, resp./min.=20, Vt=1.5 L</t>
  </si>
  <si>
    <t>Bennett and Zeman</t>
  </si>
  <si>
    <t>children</t>
  </si>
  <si>
    <t>adults</t>
  </si>
  <si>
    <t>Log</t>
  </si>
  <si>
    <t>Log(Ve)-children</t>
  </si>
  <si>
    <t>Breathing data from the studies: Minute Ventilation (liters per minute)</t>
  </si>
  <si>
    <t>Depostion fraction</t>
  </si>
  <si>
    <t>Bennett et al 1985: effect of exercise on deposition and subsequent retention of inhaled particles</t>
  </si>
  <si>
    <t>DM</t>
  </si>
  <si>
    <t>JD</t>
  </si>
  <si>
    <t>AR</t>
  </si>
  <si>
    <t>DZ</t>
  </si>
  <si>
    <t>rest</t>
  </si>
  <si>
    <t>VE(L/min)</t>
  </si>
  <si>
    <t>DF</t>
  </si>
  <si>
    <t>H-48T</t>
  </si>
  <si>
    <t>H-67A</t>
  </si>
  <si>
    <t>H-67T</t>
  </si>
  <si>
    <t>H-59A</t>
  </si>
  <si>
    <t>H-59T</t>
  </si>
  <si>
    <t>H-58A</t>
  </si>
  <si>
    <t>Nose in-mouth out</t>
  </si>
  <si>
    <t>VA</t>
  </si>
  <si>
    <t>TN</t>
  </si>
  <si>
    <t>PD</t>
  </si>
  <si>
    <t>MB</t>
  </si>
  <si>
    <t>breaths/min</t>
  </si>
  <si>
    <t>Breath/min</t>
  </si>
  <si>
    <t>Dep. Fraction</t>
  </si>
  <si>
    <t>d=0.5 um, resp./min.=6, Vt=0.75 L</t>
  </si>
  <si>
    <t>spontaneous breathing only</t>
  </si>
  <si>
    <t>s.d.</t>
  </si>
  <si>
    <t>SPONTANEOUS</t>
  </si>
  <si>
    <t>H-35T</t>
  </si>
  <si>
    <t>H-57A</t>
  </si>
  <si>
    <t>H-57T</t>
  </si>
  <si>
    <t>H-45A</t>
  </si>
  <si>
    <t>H-45T</t>
  </si>
  <si>
    <t>H-46A</t>
  </si>
  <si>
    <t>H-46T</t>
  </si>
  <si>
    <t>H-63A</t>
  </si>
  <si>
    <t>H-63T</t>
  </si>
  <si>
    <t>H-42A</t>
  </si>
  <si>
    <t>H-42T</t>
  </si>
  <si>
    <t>H-43A</t>
  </si>
  <si>
    <t>H-43T</t>
  </si>
  <si>
    <t>H-53A</t>
  </si>
  <si>
    <t>H-53T</t>
  </si>
  <si>
    <t>H-55A</t>
  </si>
  <si>
    <t>H-55T</t>
  </si>
  <si>
    <t>H-66A</t>
  </si>
  <si>
    <t>Log(Dep fract)</t>
  </si>
  <si>
    <t>2.0 um</t>
  </si>
  <si>
    <t>3.0 um</t>
  </si>
  <si>
    <t>Vt=1 L</t>
  </si>
  <si>
    <t>logGSD^2</t>
  </si>
  <si>
    <t>(microns)</t>
  </si>
  <si>
    <t>0.25-1.2</t>
  </si>
  <si>
    <t>1.0-3.2</t>
  </si>
  <si>
    <t>particle size*</t>
  </si>
  <si>
    <t xml:space="preserve">* there is some equivocal evidence that variability is greatest at 0.5-1.0 microns, </t>
  </si>
  <si>
    <t>Schiller-Scotland et al</t>
  </si>
  <si>
    <t>Bennett et al 1985</t>
  </si>
  <si>
    <t>d=0.25 um</t>
  </si>
  <si>
    <t>d=0.5 um</t>
  </si>
  <si>
    <t>d=0.7 um</t>
  </si>
  <si>
    <t>d=1.2 um</t>
  </si>
  <si>
    <t>d=1.8 um</t>
  </si>
  <si>
    <t>resp/min.</t>
  </si>
  <si>
    <t>Vt (L)</t>
  </si>
  <si>
    <t>JI</t>
  </si>
  <si>
    <t>d=0.7 um, resp./min.=6, Vt=1.5 L</t>
  </si>
  <si>
    <t>d=0.7 um, resp./min.=6, Vt=2.0 L</t>
  </si>
  <si>
    <t>H-7</t>
  </si>
  <si>
    <t>H-60A</t>
  </si>
  <si>
    <t>H-60T</t>
  </si>
  <si>
    <t>H-54A</t>
  </si>
  <si>
    <t>H-54T</t>
  </si>
  <si>
    <t>H-24</t>
  </si>
  <si>
    <t>H-40A</t>
  </si>
  <si>
    <t>H-40T</t>
  </si>
  <si>
    <t>H-49A</t>
  </si>
  <si>
    <t>Giacomelli-Maltoni et al</t>
  </si>
  <si>
    <t>.13 um</t>
  </si>
  <si>
    <t>.24 um</t>
  </si>
  <si>
    <t>all breathing patterns are 12 L/min</t>
  </si>
  <si>
    <t>0s insp. pause</t>
  </si>
  <si>
    <t>Vt=1L</t>
  </si>
  <si>
    <t>1s insp. pause</t>
  </si>
  <si>
    <t>2.5s pause</t>
  </si>
  <si>
    <t>DFrt (spontaneous breathing DF)</t>
  </si>
  <si>
    <t>Combined Df variability for spontaneous breathing</t>
  </si>
  <si>
    <t>d=0.5 um, resp./min.=6, Vt=2.0 L</t>
  </si>
  <si>
    <t>30 L/min</t>
  </si>
  <si>
    <t>Tracheobronchial deposition fractions</t>
  </si>
  <si>
    <t>Log (AJ)</t>
  </si>
  <si>
    <t>neg.ln(1-AH)</t>
  </si>
  <si>
    <t>neg.ln(1-X)</t>
  </si>
  <si>
    <r>
      <t>neg.ln(1-</t>
    </r>
    <r>
      <rPr>
        <sz val="9"/>
        <color indexed="53"/>
        <rFont val="Geneva"/>
        <family val="0"/>
      </rPr>
      <t>X</t>
    </r>
    <r>
      <rPr>
        <sz val="9"/>
        <rFont val="Geneva"/>
        <family val="0"/>
      </rPr>
      <t>)</t>
    </r>
  </si>
  <si>
    <r>
      <t>Log (</t>
    </r>
    <r>
      <rPr>
        <sz val="9"/>
        <color indexed="53"/>
        <rFont val="Geneva"/>
        <family val="0"/>
      </rPr>
      <t>AB</t>
    </r>
    <r>
      <rPr>
        <sz val="9"/>
        <rFont val="Geneva"/>
        <family val="0"/>
      </rPr>
      <t>)</t>
    </r>
  </si>
  <si>
    <r>
      <t>Log (</t>
    </r>
    <r>
      <rPr>
        <sz val="9"/>
        <color indexed="53"/>
        <rFont val="Geneva"/>
        <family val="0"/>
      </rPr>
      <t>Z</t>
    </r>
    <r>
      <rPr>
        <sz val="9"/>
        <rFont val="Geneva"/>
        <family val="0"/>
      </rPr>
      <t>)</t>
    </r>
  </si>
  <si>
    <r>
      <t>Log (</t>
    </r>
    <r>
      <rPr>
        <sz val="9"/>
        <color indexed="53"/>
        <rFont val="Geneva"/>
        <family val="0"/>
      </rPr>
      <t>AJ</t>
    </r>
    <r>
      <rPr>
        <sz val="9"/>
        <rFont val="Geneva"/>
        <family val="0"/>
      </rPr>
      <t>)</t>
    </r>
  </si>
  <si>
    <t>d=1.2 um, resp./min.=20, Vt=0.75 L</t>
  </si>
  <si>
    <t>d=1.2 um, resp./min.=20, Vt=1.5 L</t>
  </si>
  <si>
    <t>d=1.2 um, resp./min.=20, Vt=2.0 L</t>
  </si>
  <si>
    <t>IIIe: 1.8 microns</t>
  </si>
  <si>
    <t>d=1.8 um, resp./min.=6, Vt=0.75 L</t>
  </si>
  <si>
    <t>d=1.8 um, resp./min.=6, Vt=1.5 L</t>
  </si>
  <si>
    <t>nDrate</t>
  </si>
  <si>
    <t>age</t>
  </si>
  <si>
    <t>sexm1f2</t>
  </si>
  <si>
    <t>ht</t>
  </si>
  <si>
    <t>pub1n2y</t>
  </si>
  <si>
    <t>sRaw</t>
  </si>
  <si>
    <t>Raw</t>
  </si>
  <si>
    <t>MEAD</t>
  </si>
  <si>
    <t>FEV1</t>
  </si>
  <si>
    <t>%pred</t>
  </si>
  <si>
    <t>Adults</t>
  </si>
  <si>
    <t>count</t>
  </si>
  <si>
    <t>SUBJECT</t>
  </si>
  <si>
    <t>DA</t>
  </si>
  <si>
    <t>RA</t>
  </si>
  <si>
    <t>RB</t>
  </si>
  <si>
    <t>RJB</t>
  </si>
  <si>
    <t>VB</t>
  </si>
  <si>
    <t>WB</t>
  </si>
  <si>
    <t>CC</t>
  </si>
  <si>
    <t>FC</t>
  </si>
  <si>
    <t>Negative LN(Deposition fractions)</t>
  </si>
  <si>
    <t>Deposition 4actions</t>
  </si>
  <si>
    <t>photo08.htm</t>
  </si>
  <si>
    <t>Bennett et al 1996: variability of fine particle deposition in healthy adults-effect of age and gender</t>
  </si>
  <si>
    <t>n=62, particle d=2.0 um MMAD</t>
  </si>
  <si>
    <r>
      <t xml:space="preserve">and less for smaller and larger particles. See </t>
    </r>
    <r>
      <rPr>
        <sz val="10"/>
        <color indexed="53"/>
        <rFont val="Geneva"/>
        <family val="0"/>
      </rPr>
      <t>particle size</t>
    </r>
    <r>
      <rPr>
        <sz val="10"/>
        <rFont val="Geneva"/>
        <family val="0"/>
      </rPr>
      <t xml:space="preserve">. </t>
    </r>
  </si>
  <si>
    <t>particle size</t>
  </si>
  <si>
    <t>Anderson et al 1988</t>
  </si>
  <si>
    <t>CVs</t>
  </si>
  <si>
    <t>logGSDs</t>
  </si>
  <si>
    <t>Anderson et al 1990</t>
  </si>
  <si>
    <t>Heyder et al</t>
  </si>
  <si>
    <t>Heyder and Rudolf</t>
  </si>
  <si>
    <t>Pritchard et al</t>
  </si>
  <si>
    <t>Melandri et al</t>
  </si>
  <si>
    <t>Taroni et al</t>
  </si>
  <si>
    <t>of inhaled particles in humans. Am Ind. Hyg. Assoc. J. 41:399.</t>
  </si>
  <si>
    <t>This paper also gives means and CVs of another study:</t>
  </si>
  <si>
    <t>Negative LN(1-Deposition fractions)</t>
  </si>
  <si>
    <t>BA</t>
  </si>
  <si>
    <t>IS</t>
  </si>
  <si>
    <t>TEST</t>
  </si>
  <si>
    <t>H-65A</t>
  </si>
  <si>
    <t>H-65T</t>
  </si>
  <si>
    <t>H-18</t>
  </si>
  <si>
    <t>H-22</t>
  </si>
  <si>
    <t>H-23</t>
  </si>
  <si>
    <t>H-2</t>
  </si>
  <si>
    <t>H-8</t>
  </si>
  <si>
    <t>H-32A</t>
  </si>
  <si>
    <t>H-32T</t>
  </si>
  <si>
    <t>H-41A</t>
  </si>
  <si>
    <t>H-41T</t>
  </si>
  <si>
    <t>H-48A</t>
  </si>
  <si>
    <t>CV</t>
  </si>
  <si>
    <t>cv</t>
  </si>
  <si>
    <t>d=1.2 um, resp./min.=12, Vt=1.5 L</t>
  </si>
  <si>
    <t>LogGSD(-ln(1-Df))</t>
  </si>
  <si>
    <t>Kim and Hu 1998: Regional deposition of inhaled particles in human lungs: comparison between men and women</t>
  </si>
  <si>
    <t>Upper Airway</t>
  </si>
  <si>
    <t>Tracheobronch</t>
  </si>
  <si>
    <t>Alveolar</t>
  </si>
  <si>
    <t>Total</t>
  </si>
  <si>
    <t>1 micron particles: men</t>
  </si>
  <si>
    <t>LR</t>
  </si>
  <si>
    <t>CS</t>
  </si>
  <si>
    <t>CQS</t>
  </si>
  <si>
    <t>DS</t>
  </si>
  <si>
    <t>JS</t>
  </si>
  <si>
    <t>DB</t>
  </si>
  <si>
    <t>FB</t>
  </si>
  <si>
    <t>HB</t>
  </si>
  <si>
    <t>DH</t>
  </si>
  <si>
    <t>HGP</t>
  </si>
  <si>
    <t>LP</t>
  </si>
  <si>
    <t>WEIGHT (lbs)</t>
  </si>
  <si>
    <t>AGE (yrs)</t>
  </si>
  <si>
    <t>HEIGHT (in)</t>
  </si>
  <si>
    <t>Negative Ln(1-Deposition fractions)</t>
  </si>
  <si>
    <t>H-26</t>
  </si>
  <si>
    <t>H-33</t>
  </si>
  <si>
    <t>H-44A</t>
  </si>
  <si>
    <t>H-44T</t>
  </si>
  <si>
    <t>H-5</t>
  </si>
  <si>
    <t>H-13</t>
  </si>
  <si>
    <t>H-30</t>
  </si>
  <si>
    <t>H-35A</t>
  </si>
  <si>
    <t>d=0.7 um, resp./min.=12, Vt=2.0 L</t>
  </si>
  <si>
    <t>d=0.7 um, resp./min.=20, Vt=1.5 L</t>
  </si>
  <si>
    <t>mean</t>
  </si>
  <si>
    <t>CW</t>
  </si>
  <si>
    <t>BM</t>
  </si>
  <si>
    <t>NH</t>
  </si>
  <si>
    <t>H-49T</t>
  </si>
  <si>
    <t>d=0.25 um, resp./min.=12, Vt=0.75 L</t>
  </si>
  <si>
    <t>extrathoracic</t>
  </si>
  <si>
    <t>tracheobronchial</t>
  </si>
  <si>
    <t>alveolar</t>
  </si>
  <si>
    <t>Deposition in restrictive lung disease patients was similar to normal subjects.</t>
  </si>
  <si>
    <t>Vt=0.5 L, T= 3.33, 2, and 1 s. (18, 30, and 60 breaths/min). serial bolus aerosol delivery technique.</t>
  </si>
  <si>
    <t>150 ml/s</t>
  </si>
  <si>
    <t>250 ml/s</t>
  </si>
  <si>
    <t>500 ml/s</t>
  </si>
  <si>
    <t>1 micron particles: women</t>
  </si>
  <si>
    <t>Bennett et al 1999: Regional deposition and retention of particles in shallow, inhaled boluses: effect of lung volume</t>
  </si>
  <si>
    <t>CF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</si>
</sst>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"/>
    <numFmt numFmtId="176" formatCode="0.00000000000"/>
    <numFmt numFmtId="177" formatCode="0.0000000000"/>
    <numFmt numFmtId="178" formatCode="0.000000000"/>
    <numFmt numFmtId="179" formatCode="_(* #,##0.000_);_(* \(#,##0.000\);_(* &quot;-&quot;??_);_(@_)"/>
    <numFmt numFmtId="180" formatCode="_(* #,##0.000_);_(* \(#,##0.000\);_(* &quot;-&quot;???_);_(@_)"/>
    <numFmt numFmtId="181" formatCode="_(* #,##0.0_);_(* \(#,##0.0\);_(* &quot;-&quot;??_);_(@_)"/>
  </numFmts>
  <fonts count="13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7"/>
      <name val="Geneva"/>
      <family val="0"/>
    </font>
    <font>
      <b/>
      <sz val="14"/>
      <color indexed="46"/>
      <name val="Trebuchet MS"/>
      <family val="0"/>
    </font>
    <font>
      <sz val="9"/>
      <color indexed="19"/>
      <name val="Geneva"/>
      <family val="0"/>
    </font>
    <font>
      <b/>
      <sz val="11"/>
      <color indexed="12"/>
      <name val="Trebuchet MS"/>
      <family val="0"/>
    </font>
    <font>
      <sz val="9"/>
      <color indexed="61"/>
      <name val="Geneva"/>
      <family val="0"/>
    </font>
    <font>
      <b/>
      <sz val="9"/>
      <color indexed="61"/>
      <name val="Geneva"/>
      <family val="0"/>
    </font>
    <font>
      <u val="single"/>
      <sz val="7.2"/>
      <color indexed="12"/>
      <name val="Geneva"/>
      <family val="0"/>
    </font>
    <font>
      <u val="single"/>
      <sz val="7.2"/>
      <color indexed="36"/>
      <name val="Geneva"/>
      <family val="0"/>
    </font>
    <font>
      <b/>
      <u val="single"/>
      <sz val="14"/>
      <color indexed="12"/>
      <name val="Trebuchet MS"/>
      <family val="0"/>
    </font>
    <font>
      <b/>
      <u val="single"/>
      <sz val="14"/>
      <color indexed="61"/>
      <name val="Trebuchet MS"/>
      <family val="0"/>
    </font>
    <font>
      <b/>
      <sz val="9"/>
      <color indexed="48"/>
      <name val="Geneva"/>
      <family val="0"/>
    </font>
    <font>
      <sz val="9"/>
      <color indexed="13"/>
      <name val="Geneva"/>
      <family val="0"/>
    </font>
    <font>
      <sz val="9"/>
      <color indexed="53"/>
      <name val="Geneva"/>
      <family val="0"/>
    </font>
    <font>
      <sz val="9"/>
      <color indexed="56"/>
      <name val="Geneva"/>
      <family val="0"/>
    </font>
    <font>
      <b/>
      <sz val="14"/>
      <color indexed="50"/>
      <name val="Trebuchet MS"/>
      <family val="0"/>
    </font>
    <font>
      <b/>
      <sz val="14"/>
      <color indexed="51"/>
      <name val="Trebuchet MS"/>
      <family val="0"/>
    </font>
    <font>
      <b/>
      <sz val="14"/>
      <color indexed="52"/>
      <name val="Trebuchet MS"/>
      <family val="0"/>
    </font>
    <font>
      <b/>
      <sz val="14"/>
      <color indexed="14"/>
      <name val="Trebuchet MS"/>
      <family val="0"/>
    </font>
    <font>
      <b/>
      <i/>
      <sz val="14"/>
      <color indexed="50"/>
      <name val="Trebuchet MS"/>
      <family val="0"/>
    </font>
    <font>
      <b/>
      <i/>
      <sz val="14"/>
      <color indexed="51"/>
      <name val="Trebuchet MS"/>
      <family val="0"/>
    </font>
    <font>
      <sz val="9"/>
      <color indexed="63"/>
      <name val="Geneva"/>
      <family val="0"/>
    </font>
    <font>
      <u val="single"/>
      <sz val="10"/>
      <color indexed="52"/>
      <name val="Geneva"/>
      <family val="0"/>
    </font>
    <font>
      <sz val="9"/>
      <color indexed="14"/>
      <name val="Trebuchet MS"/>
      <family val="0"/>
    </font>
    <font>
      <sz val="9"/>
      <color indexed="10"/>
      <name val="Geneva"/>
      <family val="0"/>
    </font>
    <font>
      <b/>
      <sz val="9"/>
      <name val="Sand"/>
      <family val="0"/>
    </font>
    <font>
      <b/>
      <sz val="14"/>
      <color indexed="48"/>
      <name val="Trebuchet MS"/>
      <family val="0"/>
    </font>
    <font>
      <sz val="9"/>
      <color indexed="15"/>
      <name val="Sand"/>
      <family val="0"/>
    </font>
    <font>
      <b/>
      <sz val="14"/>
      <color indexed="57"/>
      <name val="Trebuchet MS"/>
      <family val="0"/>
    </font>
    <font>
      <b/>
      <sz val="14"/>
      <color indexed="15"/>
      <name val="Trebuchet MS"/>
      <family val="0"/>
    </font>
    <font>
      <b/>
      <sz val="9"/>
      <color indexed="49"/>
      <name val="Geneva"/>
      <family val="0"/>
    </font>
    <font>
      <b/>
      <sz val="9"/>
      <color indexed="18"/>
      <name val="Geneva"/>
      <family val="0"/>
    </font>
    <font>
      <sz val="9"/>
      <color indexed="57"/>
      <name val="Trebuchet MS"/>
      <family val="0"/>
    </font>
    <font>
      <sz val="9"/>
      <color indexed="11"/>
      <name val="Textile"/>
      <family val="0"/>
    </font>
    <font>
      <sz val="9"/>
      <color indexed="50"/>
      <name val="Textile"/>
      <family val="0"/>
    </font>
    <font>
      <b/>
      <sz val="9"/>
      <color indexed="57"/>
      <name val="Geneva"/>
      <family val="0"/>
    </font>
    <font>
      <sz val="12"/>
      <color indexed="12"/>
      <name val="Textile"/>
      <family val="0"/>
    </font>
    <font>
      <b/>
      <sz val="9"/>
      <color indexed="10"/>
      <name val="Geneva"/>
      <family val="0"/>
    </font>
    <font>
      <b/>
      <sz val="14"/>
      <color indexed="61"/>
      <name val="Trebuchet MS"/>
      <family val="0"/>
    </font>
    <font>
      <b/>
      <sz val="9"/>
      <color indexed="61"/>
      <name val="Trebuchet MS"/>
      <family val="0"/>
    </font>
    <font>
      <i/>
      <sz val="9"/>
      <color indexed="61"/>
      <name val="Geneva"/>
      <family val="0"/>
    </font>
    <font>
      <b/>
      <sz val="9"/>
      <color indexed="46"/>
      <name val="Trebuchet MS"/>
      <family val="0"/>
    </font>
    <font>
      <u val="double"/>
      <sz val="9"/>
      <name val="Sand"/>
      <family val="0"/>
    </font>
    <font>
      <sz val="9"/>
      <color indexed="45"/>
      <name val="Geneva"/>
      <family val="0"/>
    </font>
    <font>
      <b/>
      <sz val="9"/>
      <color indexed="61"/>
      <name val="Sand"/>
      <family val="0"/>
    </font>
    <font>
      <b/>
      <sz val="9"/>
      <color indexed="53"/>
      <name val="Geneva"/>
      <family val="0"/>
    </font>
    <font>
      <b/>
      <sz val="9"/>
      <color indexed="52"/>
      <name val="Geneva"/>
      <family val="0"/>
    </font>
    <font>
      <b/>
      <sz val="9"/>
      <color indexed="51"/>
      <name val="Geneva"/>
      <family val="0"/>
    </font>
    <font>
      <b/>
      <sz val="9"/>
      <color indexed="56"/>
      <name val="Geneva"/>
      <family val="0"/>
    </font>
    <font>
      <b/>
      <sz val="14"/>
      <color indexed="10"/>
      <name val="Trebuchet MS"/>
      <family val="0"/>
    </font>
    <font>
      <b/>
      <sz val="14"/>
      <color indexed="11"/>
      <name val="Trebuchet MS"/>
      <family val="0"/>
    </font>
    <font>
      <b/>
      <sz val="9"/>
      <color indexed="11"/>
      <name val="Sand"/>
      <family val="0"/>
    </font>
    <font>
      <sz val="9"/>
      <color indexed="11"/>
      <name val="Sand"/>
      <family val="0"/>
    </font>
    <font>
      <b/>
      <sz val="9"/>
      <color indexed="12"/>
      <name val="Geneva"/>
      <family val="0"/>
    </font>
    <font>
      <b/>
      <sz val="18"/>
      <color indexed="12"/>
      <name val="Trebuchet MS"/>
      <family val="0"/>
    </font>
    <font>
      <b/>
      <u val="double"/>
      <sz val="12"/>
      <color indexed="17"/>
      <name val="Sand"/>
      <family val="0"/>
    </font>
    <font>
      <sz val="2"/>
      <name val="Geneva"/>
      <family val="0"/>
    </font>
    <font>
      <sz val="1.75"/>
      <name val="Geneva"/>
      <family val="0"/>
    </font>
    <font>
      <b/>
      <sz val="2.75"/>
      <name val="Geneva"/>
      <family val="0"/>
    </font>
    <font>
      <b/>
      <sz val="2.5"/>
      <name val="Geneva"/>
      <family val="0"/>
    </font>
    <font>
      <b/>
      <sz val="9"/>
      <color indexed="21"/>
      <name val="Geneva"/>
      <family val="0"/>
    </font>
    <font>
      <b/>
      <sz val="10"/>
      <color indexed="21"/>
      <name val="Geneva"/>
      <family val="0"/>
    </font>
    <font>
      <b/>
      <sz val="5.75"/>
      <name val="Geneva"/>
      <family val="0"/>
    </font>
    <font>
      <sz val="4.25"/>
      <name val="Geneva"/>
      <family val="0"/>
    </font>
    <font>
      <b/>
      <sz val="8"/>
      <name val="Geneva"/>
      <family val="0"/>
    </font>
    <font>
      <sz val="4.5"/>
      <name val="Geneva"/>
      <family val="0"/>
    </font>
    <font>
      <b/>
      <sz val="14"/>
      <color indexed="18"/>
      <name val="Trebuchet MS"/>
      <family val="0"/>
    </font>
    <font>
      <b/>
      <sz val="9"/>
      <color indexed="13"/>
      <name val="Geneva"/>
      <family val="0"/>
    </font>
    <font>
      <b/>
      <sz val="14"/>
      <color indexed="40"/>
      <name val="Trebuchet MS"/>
      <family val="0"/>
    </font>
    <font>
      <sz val="12"/>
      <color indexed="12"/>
      <name val="Georgia"/>
      <family val="0"/>
    </font>
    <font>
      <b/>
      <sz val="12"/>
      <color indexed="17"/>
      <name val="Georgia"/>
      <family val="0"/>
    </font>
    <font>
      <b/>
      <sz val="12"/>
      <color indexed="53"/>
      <name val="Georgia"/>
      <family val="0"/>
    </font>
    <font>
      <b/>
      <sz val="12"/>
      <color indexed="10"/>
      <name val="Georgia"/>
      <family val="0"/>
    </font>
    <font>
      <b/>
      <sz val="12"/>
      <color indexed="16"/>
      <name val="Georgia"/>
      <family val="0"/>
    </font>
    <font>
      <b/>
      <sz val="12"/>
      <color indexed="61"/>
      <name val="Georgia"/>
      <family val="0"/>
    </font>
    <font>
      <sz val="12"/>
      <name val="Georgia"/>
      <family val="0"/>
    </font>
    <font>
      <b/>
      <sz val="12"/>
      <color indexed="48"/>
      <name val="Georgia"/>
      <family val="0"/>
    </font>
    <font>
      <b/>
      <sz val="12"/>
      <name val="Georgia"/>
      <family val="0"/>
    </font>
    <font>
      <sz val="12"/>
      <color indexed="51"/>
      <name val="Georgia"/>
      <family val="0"/>
    </font>
    <font>
      <sz val="12"/>
      <color indexed="11"/>
      <name val="Georgia"/>
      <family val="0"/>
    </font>
    <font>
      <sz val="12"/>
      <color indexed="52"/>
      <name val="Georgia"/>
      <family val="0"/>
    </font>
    <font>
      <sz val="12"/>
      <color indexed="53"/>
      <name val="Georgia"/>
      <family val="0"/>
    </font>
    <font>
      <sz val="12"/>
      <color indexed="60"/>
      <name val="Georgia"/>
      <family val="0"/>
    </font>
    <font>
      <sz val="12"/>
      <color indexed="16"/>
      <name val="Georgia"/>
      <family val="0"/>
    </font>
    <font>
      <sz val="12"/>
      <color indexed="10"/>
      <name val="Georgia"/>
      <family val="0"/>
    </font>
    <font>
      <b/>
      <sz val="12"/>
      <color indexed="21"/>
      <name val="Georgia"/>
      <family val="0"/>
    </font>
    <font>
      <sz val="12"/>
      <color indexed="14"/>
      <name val="Georgia"/>
      <family val="0"/>
    </font>
    <font>
      <sz val="12"/>
      <color indexed="45"/>
      <name val="Georgia"/>
      <family val="0"/>
    </font>
    <font>
      <sz val="12"/>
      <color indexed="46"/>
      <name val="Georgia"/>
      <family val="0"/>
    </font>
    <font>
      <sz val="12"/>
      <color indexed="61"/>
      <name val="Georgia"/>
      <family val="0"/>
    </font>
    <font>
      <sz val="12"/>
      <color indexed="20"/>
      <name val="Georgia"/>
      <family val="0"/>
    </font>
    <font>
      <sz val="12"/>
      <color indexed="62"/>
      <name val="Georgia"/>
      <family val="0"/>
    </font>
    <font>
      <sz val="12"/>
      <color indexed="48"/>
      <name val="Georgia"/>
      <family val="0"/>
    </font>
    <font>
      <sz val="12"/>
      <color indexed="15"/>
      <name val="Georgia"/>
      <family val="0"/>
    </font>
    <font>
      <sz val="12"/>
      <color indexed="40"/>
      <name val="Georgia"/>
      <family val="0"/>
    </font>
    <font>
      <sz val="12"/>
      <color indexed="49"/>
      <name val="Georgia"/>
      <family val="0"/>
    </font>
    <font>
      <sz val="12"/>
      <color indexed="57"/>
      <name val="Georgia"/>
      <family val="0"/>
    </font>
    <font>
      <sz val="12"/>
      <color indexed="21"/>
      <name val="Georgia"/>
      <family val="0"/>
    </font>
    <font>
      <sz val="12"/>
      <color indexed="17"/>
      <name val="Georgia"/>
      <family val="0"/>
    </font>
    <font>
      <sz val="12"/>
      <color indexed="19"/>
      <name val="Georgia"/>
      <family val="0"/>
    </font>
    <font>
      <sz val="12"/>
      <color indexed="47"/>
      <name val="Georgia"/>
      <family val="0"/>
    </font>
    <font>
      <b/>
      <u val="single"/>
      <sz val="14"/>
      <color indexed="11"/>
      <name val="Trebuchet MS"/>
      <family val="0"/>
    </font>
    <font>
      <sz val="12"/>
      <color indexed="50"/>
      <name val="Georgia"/>
      <family val="0"/>
    </font>
    <font>
      <b/>
      <u val="single"/>
      <sz val="14"/>
      <color indexed="50"/>
      <name val="Trebuchet MS"/>
      <family val="0"/>
    </font>
    <font>
      <sz val="12"/>
      <color indexed="13"/>
      <name val="Georgia"/>
      <family val="0"/>
    </font>
    <font>
      <b/>
      <u val="single"/>
      <sz val="14"/>
      <color indexed="13"/>
      <name val="Trebuchet MS"/>
      <family val="0"/>
    </font>
    <font>
      <b/>
      <u val="single"/>
      <sz val="14"/>
      <color indexed="51"/>
      <name val="Trebuchet MS"/>
      <family val="0"/>
    </font>
    <font>
      <b/>
      <sz val="14"/>
      <name val="Georgia"/>
      <family val="0"/>
    </font>
    <font>
      <sz val="14"/>
      <name val="Georgia"/>
      <family val="0"/>
    </font>
    <font>
      <b/>
      <sz val="14"/>
      <color indexed="10"/>
      <name val="Geneva"/>
      <family val="0"/>
    </font>
    <font>
      <sz val="9"/>
      <color indexed="21"/>
      <name val="Geneva"/>
      <family val="0"/>
    </font>
    <font>
      <b/>
      <sz val="14"/>
      <color indexed="12"/>
      <name val="Geneva"/>
      <family val="0"/>
    </font>
    <font>
      <i/>
      <sz val="14"/>
      <name val="Georgia"/>
      <family val="0"/>
    </font>
    <font>
      <sz val="14"/>
      <color indexed="22"/>
      <name val="Georgia"/>
      <family val="0"/>
    </font>
    <font>
      <b/>
      <sz val="9"/>
      <color indexed="15"/>
      <name val="Trebuchet MS"/>
      <family val="0"/>
    </font>
    <font>
      <sz val="9"/>
      <color indexed="40"/>
      <name val="Geneva"/>
      <family val="0"/>
    </font>
    <font>
      <b/>
      <sz val="14"/>
      <color indexed="50"/>
      <name val="Geneva"/>
      <family val="0"/>
    </font>
    <font>
      <b/>
      <sz val="14"/>
      <color indexed="49"/>
      <name val="Trebuchet MS"/>
      <family val="0"/>
    </font>
    <font>
      <b/>
      <sz val="12"/>
      <color indexed="49"/>
      <name val="Trebuchet MS"/>
      <family val="0"/>
    </font>
    <font>
      <sz val="12"/>
      <name val="Geneva"/>
      <family val="0"/>
    </font>
    <font>
      <b/>
      <sz val="14"/>
      <color indexed="53"/>
      <name val="Trebuchet MS"/>
      <family val="0"/>
    </font>
    <font>
      <sz val="10"/>
      <name val="Geneva"/>
      <family val="0"/>
    </font>
    <font>
      <b/>
      <sz val="10"/>
      <color indexed="53"/>
      <name val="Geneva"/>
      <family val="0"/>
    </font>
    <font>
      <b/>
      <sz val="10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  <font>
      <b/>
      <sz val="10"/>
      <color indexed="49"/>
      <name val="Geneva"/>
      <family val="0"/>
    </font>
    <font>
      <b/>
      <sz val="12"/>
      <name val="Geneva"/>
      <family val="0"/>
    </font>
    <font>
      <sz val="5"/>
      <name val="Geneva"/>
      <family val="0"/>
    </font>
    <font>
      <b/>
      <vertAlign val="superscript"/>
      <sz val="12"/>
      <name val="Geneva"/>
      <family val="0"/>
    </font>
    <font>
      <sz val="4.75"/>
      <name val="Geneva"/>
      <family val="0"/>
    </font>
    <font>
      <sz val="8"/>
      <name val="Geneva"/>
      <family val="0"/>
    </font>
    <font>
      <sz val="10"/>
      <color indexed="53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20" applyFont="1" applyFill="1" applyAlignment="1">
      <alignment/>
    </xf>
    <xf numFmtId="0" fontId="13" fillId="0" borderId="0" xfId="2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2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8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2" borderId="0" xfId="0" applyFill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2" fontId="63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69" fillId="0" borderId="0" xfId="0" applyFont="1" applyAlignment="1">
      <alignment/>
    </xf>
    <xf numFmtId="2" fontId="70" fillId="0" borderId="0" xfId="0" applyNumberFormat="1" applyFont="1" applyFill="1" applyAlignment="1">
      <alignment/>
    </xf>
    <xf numFmtId="2" fontId="7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68" fontId="5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2" fontId="78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0" fontId="81" fillId="0" borderId="0" xfId="0" applyFont="1" applyAlignment="1">
      <alignment/>
    </xf>
    <xf numFmtId="169" fontId="78" fillId="0" borderId="0" xfId="0" applyNumberFormat="1" applyFont="1" applyAlignment="1">
      <alignment/>
    </xf>
    <xf numFmtId="168" fontId="78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8" fillId="0" borderId="0" xfId="0" applyFont="1" applyAlignment="1">
      <alignment horizontal="right"/>
    </xf>
    <xf numFmtId="0" fontId="84" fillId="0" borderId="0" xfId="0" applyFont="1" applyAlignment="1">
      <alignment/>
    </xf>
    <xf numFmtId="2" fontId="74" fillId="0" borderId="0" xfId="0" applyNumberFormat="1" applyFont="1" applyAlignment="1">
      <alignment/>
    </xf>
    <xf numFmtId="0" fontId="85" fillId="0" borderId="0" xfId="0" applyFont="1" applyAlignment="1">
      <alignment/>
    </xf>
    <xf numFmtId="2" fontId="75" fillId="0" borderId="0" xfId="0" applyNumberFormat="1" applyFont="1" applyAlignment="1">
      <alignment/>
    </xf>
    <xf numFmtId="0" fontId="7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/>
    </xf>
    <xf numFmtId="0" fontId="76" fillId="0" borderId="0" xfId="0" applyFont="1" applyAlignment="1">
      <alignment/>
    </xf>
    <xf numFmtId="168" fontId="80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" fontId="78" fillId="0" borderId="0" xfId="0" applyNumberFormat="1" applyFont="1" applyAlignment="1">
      <alignment/>
    </xf>
    <xf numFmtId="169" fontId="79" fillId="0" borderId="0" xfId="0" applyNumberFormat="1" applyFont="1" applyAlignment="1">
      <alignment/>
    </xf>
    <xf numFmtId="168" fontId="79" fillId="0" borderId="0" xfId="0" applyNumberFormat="1" applyFont="1" applyAlignment="1">
      <alignment/>
    </xf>
    <xf numFmtId="0" fontId="79" fillId="0" borderId="0" xfId="0" applyFont="1" applyAlignment="1">
      <alignment horizontal="right"/>
    </xf>
    <xf numFmtId="2" fontId="78" fillId="0" borderId="0" xfId="0" applyNumberFormat="1" applyFont="1" applyAlignment="1">
      <alignment horizontal="right"/>
    </xf>
    <xf numFmtId="169" fontId="78" fillId="0" borderId="0" xfId="0" applyNumberFormat="1" applyFont="1" applyAlignment="1">
      <alignment horizontal="right"/>
    </xf>
    <xf numFmtId="0" fontId="104" fillId="0" borderId="0" xfId="20" applyFont="1" applyFill="1" applyAlignment="1">
      <alignment/>
    </xf>
    <xf numFmtId="0" fontId="105" fillId="0" borderId="0" xfId="0" applyFont="1" applyAlignment="1">
      <alignment/>
    </xf>
    <xf numFmtId="0" fontId="106" fillId="0" borderId="0" xfId="20" applyFont="1" applyFill="1" applyAlignment="1">
      <alignment/>
    </xf>
    <xf numFmtId="0" fontId="107" fillId="0" borderId="0" xfId="0" applyFont="1" applyAlignment="1">
      <alignment/>
    </xf>
    <xf numFmtId="0" fontId="108" fillId="0" borderId="0" xfId="20" applyFont="1" applyFill="1" applyAlignment="1">
      <alignment/>
    </xf>
    <xf numFmtId="0" fontId="109" fillId="0" borderId="0" xfId="20" applyFont="1" applyFill="1" applyAlignment="1">
      <alignment/>
    </xf>
    <xf numFmtId="0" fontId="78" fillId="0" borderId="0" xfId="0" applyFont="1" applyAlignment="1">
      <alignment horizontal="center"/>
    </xf>
    <xf numFmtId="168" fontId="78" fillId="0" borderId="0" xfId="0" applyNumberFormat="1" applyFont="1" applyAlignment="1">
      <alignment horizontal="center"/>
    </xf>
    <xf numFmtId="169" fontId="78" fillId="0" borderId="0" xfId="0" applyNumberFormat="1" applyFont="1" applyAlignment="1">
      <alignment horizontal="center"/>
    </xf>
    <xf numFmtId="0" fontId="11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168" fontId="111" fillId="0" borderId="0" xfId="0" applyNumberFormat="1" applyFont="1" applyAlignment="1">
      <alignment horizontal="center"/>
    </xf>
    <xf numFmtId="2" fontId="111" fillId="0" borderId="0" xfId="0" applyNumberFormat="1" applyFont="1" applyAlignment="1">
      <alignment horizontal="center"/>
    </xf>
    <xf numFmtId="169" fontId="111" fillId="0" borderId="0" xfId="0" applyNumberFormat="1" applyFont="1" applyAlignment="1">
      <alignment horizontal="center"/>
    </xf>
    <xf numFmtId="168" fontId="111" fillId="0" borderId="0" xfId="0" applyNumberFormat="1" applyFont="1" applyAlignment="1">
      <alignment/>
    </xf>
    <xf numFmtId="167" fontId="111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2" fontId="110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4" fillId="0" borderId="0" xfId="0" applyFont="1" applyAlignment="1">
      <alignment/>
    </xf>
    <xf numFmtId="0" fontId="114" fillId="0" borderId="0" xfId="0" applyFont="1" applyAlignment="1">
      <alignment/>
    </xf>
    <xf numFmtId="167" fontId="114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80" fillId="0" borderId="0" xfId="0" applyFont="1" applyAlignment="1">
      <alignment/>
    </xf>
    <xf numFmtId="0" fontId="74" fillId="0" borderId="0" xfId="0" applyFont="1" applyFill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8" fillId="0" borderId="0" xfId="0" applyFont="1" applyAlignment="1">
      <alignment/>
    </xf>
    <xf numFmtId="167" fontId="119" fillId="0" borderId="0" xfId="0" applyNumberFormat="1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7" fillId="0" borderId="0" xfId="0" applyFont="1" applyAlignment="1">
      <alignment/>
    </xf>
    <xf numFmtId="168" fontId="126" fillId="0" borderId="0" xfId="0" applyNumberFormat="1" applyFont="1" applyAlignment="1">
      <alignment/>
    </xf>
    <xf numFmtId="168" fontId="124" fillId="0" borderId="0" xfId="0" applyNumberFormat="1" applyFont="1" applyAlignment="1">
      <alignment/>
    </xf>
    <xf numFmtId="0" fontId="128" fillId="0" borderId="0" xfId="0" applyFont="1" applyAlignment="1">
      <alignment/>
    </xf>
    <xf numFmtId="166" fontId="0" fillId="0" borderId="0" xfId="0" applyNumberFormat="1" applyAlignment="1">
      <alignment/>
    </xf>
    <xf numFmtId="167" fontId="51" fillId="0" borderId="0" xfId="0" applyNumberFormat="1" applyFont="1" applyAlignment="1">
      <alignment/>
    </xf>
    <xf numFmtId="0" fontId="129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48" fillId="0" borderId="0" xfId="0" applyFont="1" applyAlignment="1">
      <alignment/>
    </xf>
    <xf numFmtId="0" fontId="40" fillId="0" borderId="0" xfId="0" applyFont="1" applyAlignment="1">
      <alignment/>
    </xf>
    <xf numFmtId="0" fontId="130" fillId="0" borderId="0" xfId="0" applyFont="1" applyAlignment="1">
      <alignment/>
    </xf>
    <xf numFmtId="0" fontId="124" fillId="0" borderId="0" xfId="0" applyFont="1" applyAlignment="1">
      <alignment horizontal="right"/>
    </xf>
    <xf numFmtId="16" fontId="124" fillId="0" borderId="0" xfId="0" applyNumberFormat="1" applyFont="1" applyAlignment="1">
      <alignment horizontal="righ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79" fontId="0" fillId="0" borderId="0" xfId="15" applyNumberFormat="1" applyAlignment="1">
      <alignment/>
    </xf>
    <xf numFmtId="179" fontId="0" fillId="0" borderId="0" xfId="0" applyNumberFormat="1" applyAlignment="1">
      <alignment/>
    </xf>
    <xf numFmtId="2" fontId="0" fillId="0" borderId="0" xfId="15" applyNumberFormat="1" applyAlignment="1">
      <alignment/>
    </xf>
    <xf numFmtId="167" fontId="1" fillId="0" borderId="0" xfId="15" applyNumberFormat="1" applyFont="1" applyAlignment="1">
      <alignment/>
    </xf>
    <xf numFmtId="167" fontId="126" fillId="0" borderId="0" xfId="0" applyNumberFormat="1" applyFont="1" applyAlignment="1">
      <alignment/>
    </xf>
    <xf numFmtId="43" fontId="0" fillId="0" borderId="0" xfId="15" applyFont="1" applyAlignment="1">
      <alignment/>
    </xf>
    <xf numFmtId="179" fontId="0" fillId="0" borderId="0" xfId="15" applyNumberFormat="1" applyFont="1" applyAlignment="1">
      <alignment/>
    </xf>
    <xf numFmtId="2" fontId="124" fillId="0" borderId="0" xfId="0" applyNumberFormat="1" applyFon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chartsheet" Target="chartsheets/sheet1.xml" /><Relationship Id="rId26" Type="http://schemas.openxmlformats.org/officeDocument/2006/relationships/chartsheet" Target="chartsheets/sheet2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008000"/>
                </a:solidFill>
              </a:rPr>
              <a:t>total deposition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'Bennett and Zeman'!$M$80:$M$100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23649007"/>
        <c:axId val="11514472"/>
      </c:barChart>
      <c:catAx>
        <c:axId val="2364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514472"/>
        <c:crosses val="autoZero"/>
        <c:auto val="0"/>
        <c:lblOffset val="100"/>
        <c:noMultiLvlLbl val="0"/>
      </c:catAx>
      <c:valAx>
        <c:axId val="11514472"/>
        <c:scaling>
          <c:orientation val="minMax"/>
        </c:scaling>
        <c:axPos val="l"/>
        <c:delete val="1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0000"/>
        </a:gs>
      </a:gsLst>
      <a:lin ang="5400000" scaled="1"/>
    </a:gradFill>
  </c:spPr>
  <c:txPr>
    <a:bodyPr vert="horz" rot="0"/>
    <a:lstStyle/>
    <a:p>
      <a:pPr>
        <a:defRPr lang="en-US" cap="none" sz="900" b="0" i="0" u="dbl" baseline="0">
          <a:solidFill>
            <a:srgbClr val="FF66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Lippman'!$A$97:$A$112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'Chan and Lippman'!$B$97:$B$112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62967801"/>
        <c:axId val="29839298"/>
      </c:scatterChart>
      <c:valAx>
        <c:axId val="62967801"/>
        <c:scaling>
          <c:orientation val="minMax"/>
          <c:max val="0.26"/>
          <c:min val="0.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9839298"/>
        <c:crosses val="autoZero"/>
        <c:crossBetween val="midCat"/>
        <c:dispUnits/>
      </c:val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2967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Geneva"/>
                <a:ea typeface="Geneva"/>
                <a:cs typeface="Geneva"/>
              </a:rPr>
              <a:t>DF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'Giacomelli-Maltoni et al 1972'!$AH$2</c:f>
              <c:strCache>
                <c:ptCount val="1"/>
                <c:pt idx="0">
                  <c:v># &lt;= x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'Giacomelli-Maltoni et al 1972'!$AG$3:$AG$16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'Giacomelli-Maltoni et al 1972'!$AH$3:$AH$16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-ln(1-Df)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'Giacomelli-Maltoni et al 1972'!$AU$2</c:f>
              <c:strCache>
                <c:ptCount val="1"/>
                <c:pt idx="0">
                  <c:v># &lt;= x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'Giacomelli-Maltoni et al 1972'!$AT$3:$AT$12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'Giacomelli-Maltoni et al 1972'!$AU$3:$AU$12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Geneva"/>
                <a:ea typeface="Geneva"/>
                <a:cs typeface="Geneva"/>
              </a:rPr>
              <a:t>DF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25"/>
          <c:w val="0.92875"/>
          <c:h val="0.7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'Lippman and Albert'!$BC$1</c:f>
              <c:strCache>
                <c:ptCount val="1"/>
                <c:pt idx="0">
                  <c:v># occurences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'Lippman and Albert'!$BB$2:$BB$32</c:f>
              <c:numCache>
                <c:ptCount val="31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0.8200000000000001</c:v>
                </c:pt>
                <c:pt idx="13">
                  <c:v>0.8300000000000001</c:v>
                </c:pt>
                <c:pt idx="14">
                  <c:v>0.8400000000000001</c:v>
                </c:pt>
                <c:pt idx="15">
                  <c:v>0.8500000000000001</c:v>
                </c:pt>
                <c:pt idx="16">
                  <c:v>0.8600000000000001</c:v>
                </c:pt>
                <c:pt idx="17">
                  <c:v>0.8700000000000001</c:v>
                </c:pt>
                <c:pt idx="18">
                  <c:v>0.8800000000000001</c:v>
                </c:pt>
                <c:pt idx="19">
                  <c:v>0.8900000000000001</c:v>
                </c:pt>
                <c:pt idx="20">
                  <c:v>0.9000000000000001</c:v>
                </c:pt>
                <c:pt idx="21">
                  <c:v>0.9100000000000001</c:v>
                </c:pt>
                <c:pt idx="22">
                  <c:v>0.9200000000000002</c:v>
                </c:pt>
                <c:pt idx="23">
                  <c:v>0.9300000000000002</c:v>
                </c:pt>
                <c:pt idx="24">
                  <c:v>0.9400000000000002</c:v>
                </c:pt>
                <c:pt idx="25">
                  <c:v>0.9500000000000002</c:v>
                </c:pt>
                <c:pt idx="26">
                  <c:v>0.9600000000000002</c:v>
                </c:pt>
                <c:pt idx="27">
                  <c:v>0.9700000000000002</c:v>
                </c:pt>
                <c:pt idx="28">
                  <c:v>0.9800000000000002</c:v>
                </c:pt>
                <c:pt idx="29">
                  <c:v>0.9900000000000002</c:v>
                </c:pt>
                <c:pt idx="30">
                  <c:v>1.0000000000000002</c:v>
                </c:pt>
              </c:numCache>
            </c:numRef>
          </c:cat>
          <c:val>
            <c:numRef>
              <c:f>'Lippman and Albert'!$BC$2:$BC$32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10</c:v>
                </c:pt>
                <c:pt idx="27">
                  <c:v>15</c:v>
                </c:pt>
                <c:pt idx="28">
                  <c:v>7</c:v>
                </c:pt>
                <c:pt idx="29">
                  <c:v>5</c:v>
                </c:pt>
                <c:pt idx="30">
                  <c:v>1</c:v>
                </c:pt>
              </c:numCache>
            </c:numRef>
          </c:val>
        </c:ser>
        <c:gapWidth val="0"/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-ln(1-DF)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9725"/>
          <c:w val="0.9245"/>
          <c:h val="0.5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'Lippman and Albert'!$BP$1</c:f>
              <c:strCache>
                <c:ptCount val="1"/>
                <c:pt idx="0">
                  <c:v># occurences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Sheet2!$AZ$2:$AZ$43</c:v>
              </c:pt>
            </c:strLit>
          </c:cat>
          <c:val>
            <c:numRef>
              <c:f>'Lippman and Albert'!$BP$2:$BP$43</c:f>
              <c:numCache>
                <c:ptCount val="4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7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</c:numCache>
            </c:numRef>
          </c:val>
        </c:ser>
        <c:gapWidth val="0"/>
        <c:axId val="16844833"/>
        <c:axId val="17385770"/>
      </c:barChart>
      <c:catAx>
        <c:axId val="16844833"/>
        <c:scaling>
          <c:orientation val="minMax"/>
        </c:scaling>
        <c:axPos val="b"/>
        <c:delete val="1"/>
        <c:majorTickMark val="out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-Ln(1-DF)</a:t>
            </a:r>
          </a:p>
        </c:rich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25"/>
          <c:w val="0.92"/>
          <c:h val="0.6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'Lippman and Albert'!$BM$1</c:f>
              <c:strCache>
                <c:ptCount val="1"/>
                <c:pt idx="0">
                  <c:v>#&lt;/= x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'Lippman and Albert'!$BL$2:$BL$13</c:f>
              <c:numCache>
                <c:ptCount val="12"/>
                <c:pt idx="0">
                  <c:v>1.2</c:v>
                </c:pt>
                <c:pt idx="1">
                  <c:v>1.6</c:v>
                </c:pt>
                <c:pt idx="2">
                  <c:v>2</c:v>
                </c:pt>
                <c:pt idx="3">
                  <c:v>2.4</c:v>
                </c:pt>
                <c:pt idx="4">
                  <c:v>2.8</c:v>
                </c:pt>
                <c:pt idx="5">
                  <c:v>3.1999999999999997</c:v>
                </c:pt>
                <c:pt idx="6">
                  <c:v>3.5999999999999996</c:v>
                </c:pt>
                <c:pt idx="7">
                  <c:v>3.9999999999999996</c:v>
                </c:pt>
                <c:pt idx="8">
                  <c:v>4.3999999999999995</c:v>
                </c:pt>
                <c:pt idx="9">
                  <c:v>4.8</c:v>
                </c:pt>
                <c:pt idx="10">
                  <c:v>5.2</c:v>
                </c:pt>
                <c:pt idx="11">
                  <c:v>5.6000000000000005</c:v>
                </c:pt>
              </c:numCache>
            </c:numRef>
          </c:cat>
          <c:val>
            <c:numRef>
              <c:f>'Lippman and Albert'!$BM$2:$BM$13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14</c:v>
                </c:pt>
                <c:pt idx="6">
                  <c:v>19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gapWidth val="0"/>
        <c:axId val="22254203"/>
        <c:axId val="66070100"/>
      </c:barChart>
      <c:catAx>
        <c:axId val="2225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"/>
          <c:w val="0.7655"/>
          <c:h val="0.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'particle size'!$M$3</c:f>
              <c:strCache>
                <c:ptCount val="1"/>
                <c:pt idx="0">
                  <c:v>Anderson et al 1990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size'!$M$4:$M$101</c:f>
              <c:numCache>
                <c:ptCount val="98"/>
                <c:pt idx="1">
                  <c:v>0.05057370812274196</c:v>
                </c:pt>
                <c:pt idx="2">
                  <c:v>0.061165546609866964</c:v>
                </c:pt>
                <c:pt idx="3">
                  <c:v>0.0637240202640369</c:v>
                </c:pt>
                <c:pt idx="4">
                  <c:v>0.07382996653144672</c:v>
                </c:pt>
                <c:pt idx="5">
                  <c:v>0.09806060107599532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'particle size'!$N$3</c:f>
              <c:strCache>
                <c:ptCount val="1"/>
                <c:pt idx="0">
                  <c:v>Giacomelli-Maltoni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size'!$N$4:$N$101</c:f>
              <c:numCache>
                <c:ptCount val="98"/>
                <c:pt idx="6">
                  <c:v>0.1128</c:v>
                </c:pt>
                <c:pt idx="7">
                  <c:v>0.1212</c:v>
                </c:pt>
                <c:pt idx="8">
                  <c:v>0.1428</c:v>
                </c:pt>
                <c:pt idx="9">
                  <c:v>0.1256</c:v>
                </c:pt>
                <c:pt idx="10">
                  <c:v>0.1503</c:v>
                </c:pt>
                <c:pt idx="11">
                  <c:v>0.1233</c:v>
                </c:pt>
                <c:pt idx="12">
                  <c:v>0.1301</c:v>
                </c:pt>
                <c:pt idx="13">
                  <c:v>0.1588</c:v>
                </c:pt>
                <c:pt idx="14">
                  <c:v>0.1391</c:v>
                </c:pt>
                <c:pt idx="15">
                  <c:v>0.1106</c:v>
                </c:pt>
                <c:pt idx="16">
                  <c:v>0.1455</c:v>
                </c:pt>
                <c:pt idx="17">
                  <c:v>0.1116</c:v>
                </c:pt>
                <c:pt idx="18">
                  <c:v>0.1152</c:v>
                </c:pt>
                <c:pt idx="19">
                  <c:v>0.1006</c:v>
                </c:pt>
                <c:pt idx="20">
                  <c:v>0.162</c:v>
                </c:pt>
                <c:pt idx="21">
                  <c:v>0.113</c:v>
                </c:pt>
                <c:pt idx="22">
                  <c:v>0.09</c:v>
                </c:pt>
                <c:pt idx="23">
                  <c:v>0.115</c:v>
                </c:pt>
                <c:pt idx="24">
                  <c:v>0.136</c:v>
                </c:pt>
                <c:pt idx="25">
                  <c:v>0.138</c:v>
                </c:pt>
                <c:pt idx="26">
                  <c:v>0.112</c:v>
                </c:pt>
                <c:pt idx="27">
                  <c:v>0.097</c:v>
                </c:pt>
                <c:pt idx="28">
                  <c:v>0.104</c:v>
                </c:pt>
                <c:pt idx="29">
                  <c:v>0.161</c:v>
                </c:pt>
                <c:pt idx="30">
                  <c:v>0.125</c:v>
                </c:pt>
                <c:pt idx="31">
                  <c:v>0.131</c:v>
                </c:pt>
                <c:pt idx="32">
                  <c:v>0.133</c:v>
                </c:pt>
                <c:pt idx="33">
                  <c:v>0.14</c:v>
                </c:pt>
                <c:pt idx="34">
                  <c:v>0.129</c:v>
                </c:pt>
                <c:pt idx="35">
                  <c:v>0.139</c:v>
                </c:pt>
                <c:pt idx="36">
                  <c:v>0.144</c:v>
                </c:pt>
                <c:pt idx="37">
                  <c:v>0.16</c:v>
                </c:pt>
                <c:pt idx="38">
                  <c:v>0.136</c:v>
                </c:pt>
                <c:pt idx="39">
                  <c:v>0.184</c:v>
                </c:pt>
                <c:pt idx="40">
                  <c:v>0.103</c:v>
                </c:pt>
                <c:pt idx="41">
                  <c:v>0.127</c:v>
                </c:pt>
                <c:pt idx="42">
                  <c:v>0.135</c:v>
                </c:pt>
                <c:pt idx="43">
                  <c:v>0.117</c:v>
                </c:pt>
                <c:pt idx="44">
                  <c:v>0.152</c:v>
                </c:pt>
                <c:pt idx="45">
                  <c:v>0.176</c:v>
                </c:pt>
                <c:pt idx="46">
                  <c:v>0.142</c:v>
                </c:pt>
                <c:pt idx="47">
                  <c:v>0.138</c:v>
                </c:pt>
                <c:pt idx="48">
                  <c:v>0.135</c:v>
                </c:pt>
                <c:pt idx="49">
                  <c:v>0.135</c:v>
                </c:pt>
                <c:pt idx="50">
                  <c:v>0.167</c:v>
                </c:pt>
                <c:pt idx="51">
                  <c:v>0.153</c:v>
                </c:pt>
                <c:pt idx="52">
                  <c:v>0.167</c:v>
                </c:pt>
                <c:pt idx="53">
                  <c:v>0.138</c:v>
                </c:pt>
                <c:pt idx="54">
                  <c:v>0.164</c:v>
                </c:pt>
                <c:pt idx="55">
                  <c:v>0.156</c:v>
                </c:pt>
                <c:pt idx="56">
                  <c:v>0.181</c:v>
                </c:pt>
                <c:pt idx="57">
                  <c:v>0.164</c:v>
                </c:pt>
                <c:pt idx="58">
                  <c:v>0.123</c:v>
                </c:pt>
                <c:pt idx="59">
                  <c:v>0.138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'particle size'!$O$3</c:f>
              <c:strCache>
                <c:ptCount val="1"/>
                <c:pt idx="0">
                  <c:v>Heyder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size'!$O$4:$O$101</c:f>
              <c:numCache>
                <c:ptCount val="98"/>
                <c:pt idx="60">
                  <c:v>0.1707</c:v>
                </c:pt>
                <c:pt idx="61">
                  <c:v>0.1092</c:v>
                </c:pt>
                <c:pt idx="62">
                  <c:v>0.0922</c:v>
                </c:pt>
                <c:pt idx="63">
                  <c:v>0.1316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'particle size'!$P$3</c:f>
              <c:strCache>
                <c:ptCount val="1"/>
                <c:pt idx="0">
                  <c:v>Heyder and Rudolf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size'!$P$4:$P$101</c:f>
              <c:numCache>
                <c:ptCount val="98"/>
                <c:pt idx="64">
                  <c:v>0.345</c:v>
                </c:pt>
                <c:pt idx="65">
                  <c:v>0.31</c:v>
                </c:pt>
                <c:pt idx="66">
                  <c:v>0.193</c:v>
                </c:pt>
                <c:pt idx="67">
                  <c:v>0.126</c:v>
                </c:pt>
                <c:pt idx="68">
                  <c:v>0.395</c:v>
                </c:pt>
                <c:pt idx="69">
                  <c:v>0.29</c:v>
                </c:pt>
                <c:pt idx="70">
                  <c:v>0.185</c:v>
                </c:pt>
                <c:pt idx="71">
                  <c:v>0.127</c:v>
                </c:pt>
                <c:pt idx="72">
                  <c:v>0.345</c:v>
                </c:pt>
                <c:pt idx="73">
                  <c:v>0.313</c:v>
                </c:pt>
                <c:pt idx="74">
                  <c:v>0.183</c:v>
                </c:pt>
                <c:pt idx="75">
                  <c:v>0.123</c:v>
                </c:pt>
                <c:pt idx="76">
                  <c:v>0.314</c:v>
                </c:pt>
                <c:pt idx="77">
                  <c:v>0.358</c:v>
                </c:pt>
                <c:pt idx="78">
                  <c:v>0.192</c:v>
                </c:pt>
                <c:pt idx="79">
                  <c:v>0.125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'particle size'!$Q$3</c:f>
              <c:strCache>
                <c:ptCount val="1"/>
                <c:pt idx="0">
                  <c:v>Lippman and Albert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size'!$Q$4:$Q$101</c:f>
              <c:numCache>
                <c:ptCount val="98"/>
                <c:pt idx="80">
                  <c:v>0.1519</c:v>
                </c:pt>
                <c:pt idx="81">
                  <c:v>0.1257</c:v>
                </c:pt>
                <c:pt idx="82">
                  <c:v>0.0898</c:v>
                </c:pt>
                <c:pt idx="83">
                  <c:v>0.0963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'particle size'!$R$3</c:f>
              <c:strCache>
                <c:ptCount val="1"/>
                <c:pt idx="0">
                  <c:v>Melandri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size'!$R$4:$R$101</c:f>
              <c:numCache>
                <c:ptCount val="98"/>
                <c:pt idx="84">
                  <c:v>0.029</c:v>
                </c:pt>
                <c:pt idx="85">
                  <c:v>0.062</c:v>
                </c:pt>
                <c:pt idx="86">
                  <c:v>0.044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'particle size'!$S$3</c:f>
              <c:strCache>
                <c:ptCount val="1"/>
                <c:pt idx="0">
                  <c:v>Schiller-Scotland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99CC0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size'!$S$4:$S$101</c:f>
              <c:numCache>
                <c:ptCount val="98"/>
                <c:pt idx="87">
                  <c:v>0.1808</c:v>
                </c:pt>
                <c:pt idx="88">
                  <c:v>0.1379</c:v>
                </c:pt>
                <c:pt idx="89">
                  <c:v>0.1673</c:v>
                </c:pt>
                <c:pt idx="90">
                  <c:v>0.1405</c:v>
                </c:pt>
                <c:pt idx="91">
                  <c:v>0.112</c:v>
                </c:pt>
                <c:pt idx="92">
                  <c:v>0.169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'particle size'!$T$3</c:f>
              <c:strCache>
                <c:ptCount val="1"/>
                <c:pt idx="0">
                  <c:v>Taroni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'particle size'!$L$4:$L$101</c:f>
              <c:numCache>
                <c:ptCount val="98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0.25</c:v>
                </c:pt>
                <c:pt idx="7">
                  <c:v>0.5</c:v>
                </c:pt>
                <c:pt idx="8">
                  <c:v>0.7</c:v>
                </c:pt>
                <c:pt idx="9">
                  <c:v>1.2</c:v>
                </c:pt>
                <c:pt idx="10">
                  <c:v>1.8</c:v>
                </c:pt>
                <c:pt idx="11">
                  <c:v>0.25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0.25</c:v>
                </c:pt>
                <c:pt idx="16">
                  <c:v>0.5</c:v>
                </c:pt>
                <c:pt idx="17">
                  <c:v>0.7</c:v>
                </c:pt>
                <c:pt idx="18">
                  <c:v>1.2</c:v>
                </c:pt>
                <c:pt idx="19">
                  <c:v>1.8</c:v>
                </c:pt>
                <c:pt idx="20">
                  <c:v>0.25</c:v>
                </c:pt>
                <c:pt idx="21">
                  <c:v>0.5</c:v>
                </c:pt>
                <c:pt idx="22">
                  <c:v>0.7</c:v>
                </c:pt>
                <c:pt idx="23">
                  <c:v>1.2</c:v>
                </c:pt>
                <c:pt idx="24">
                  <c:v>1.8</c:v>
                </c:pt>
                <c:pt idx="25">
                  <c:v>0.25</c:v>
                </c:pt>
                <c:pt idx="26">
                  <c:v>0.5</c:v>
                </c:pt>
                <c:pt idx="27">
                  <c:v>0.7</c:v>
                </c:pt>
                <c:pt idx="28">
                  <c:v>1.2</c:v>
                </c:pt>
                <c:pt idx="29">
                  <c:v>1.8</c:v>
                </c:pt>
                <c:pt idx="30">
                  <c:v>0.25</c:v>
                </c:pt>
                <c:pt idx="31">
                  <c:v>0.5</c:v>
                </c:pt>
                <c:pt idx="32">
                  <c:v>0.7</c:v>
                </c:pt>
                <c:pt idx="33">
                  <c:v>1.2</c:v>
                </c:pt>
                <c:pt idx="34">
                  <c:v>1.8</c:v>
                </c:pt>
                <c:pt idx="35">
                  <c:v>0.25</c:v>
                </c:pt>
                <c:pt idx="36">
                  <c:v>0.5</c:v>
                </c:pt>
                <c:pt idx="37">
                  <c:v>0.7</c:v>
                </c:pt>
                <c:pt idx="38">
                  <c:v>1.2</c:v>
                </c:pt>
                <c:pt idx="39">
                  <c:v>1.8</c:v>
                </c:pt>
                <c:pt idx="40">
                  <c:v>0.25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1.8</c:v>
                </c:pt>
                <c:pt idx="45">
                  <c:v>0.25</c:v>
                </c:pt>
                <c:pt idx="46">
                  <c:v>0.5</c:v>
                </c:pt>
                <c:pt idx="47">
                  <c:v>0.7</c:v>
                </c:pt>
                <c:pt idx="48">
                  <c:v>1.2</c:v>
                </c:pt>
                <c:pt idx="49">
                  <c:v>1.8</c:v>
                </c:pt>
                <c:pt idx="50">
                  <c:v>0.25</c:v>
                </c:pt>
                <c:pt idx="51">
                  <c:v>0.5</c:v>
                </c:pt>
                <c:pt idx="52">
                  <c:v>0.7</c:v>
                </c:pt>
                <c:pt idx="53">
                  <c:v>1.2</c:v>
                </c:pt>
                <c:pt idx="54">
                  <c:v>1.8</c:v>
                </c:pt>
                <c:pt idx="55">
                  <c:v>0.25</c:v>
                </c:pt>
                <c:pt idx="56">
                  <c:v>0.5</c:v>
                </c:pt>
                <c:pt idx="57">
                  <c:v>0.7</c:v>
                </c:pt>
                <c:pt idx="58">
                  <c:v>1.2</c:v>
                </c:pt>
                <c:pt idx="59">
                  <c:v>1.8</c:v>
                </c:pt>
                <c:pt idx="60">
                  <c:v>1</c:v>
                </c:pt>
                <c:pt idx="61">
                  <c:v>3</c:v>
                </c:pt>
                <c:pt idx="62">
                  <c:v>5</c:v>
                </c:pt>
                <c:pt idx="63">
                  <c:v>7</c:v>
                </c:pt>
                <c:pt idx="64">
                  <c:v>0.5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0.5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0.5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0.5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3.5</c:v>
                </c:pt>
                <c:pt idx="82">
                  <c:v>4.5</c:v>
                </c:pt>
                <c:pt idx="83">
                  <c:v>5.5</c:v>
                </c:pt>
                <c:pt idx="84">
                  <c:v>0.33</c:v>
                </c:pt>
                <c:pt idx="85">
                  <c:v>0.65</c:v>
                </c:pt>
                <c:pt idx="86">
                  <c:v>1.1</c:v>
                </c:pt>
                <c:pt idx="87">
                  <c:v>1</c:v>
                </c:pt>
                <c:pt idx="88">
                  <c:v>2.2</c:v>
                </c:pt>
                <c:pt idx="89">
                  <c:v>3.2</c:v>
                </c:pt>
                <c:pt idx="90">
                  <c:v>1</c:v>
                </c:pt>
                <c:pt idx="91">
                  <c:v>2.2</c:v>
                </c:pt>
                <c:pt idx="92">
                  <c:v>3.2</c:v>
                </c:pt>
                <c:pt idx="93">
                  <c:v>0.3</c:v>
                </c:pt>
                <c:pt idx="94">
                  <c:v>0.6</c:v>
                </c:pt>
                <c:pt idx="95">
                  <c:v>0.6</c:v>
                </c:pt>
                <c:pt idx="96">
                  <c:v>1</c:v>
                </c:pt>
                <c:pt idx="97">
                  <c:v>1.5</c:v>
                </c:pt>
              </c:numCache>
            </c:numRef>
          </c:xVal>
          <c:yVal>
            <c:numRef>
              <c:f>'particle size'!$T$4:$T$101</c:f>
              <c:numCache>
                <c:ptCount val="98"/>
                <c:pt idx="93">
                  <c:v>0.157</c:v>
                </c:pt>
                <c:pt idx="94">
                  <c:v>0.142</c:v>
                </c:pt>
                <c:pt idx="95">
                  <c:v>0.18</c:v>
                </c:pt>
                <c:pt idx="96">
                  <c:v>0.14</c:v>
                </c:pt>
                <c:pt idx="97">
                  <c:v>0.106</c:v>
                </c:pt>
              </c:numCache>
            </c:numRef>
          </c:yVal>
          <c:smooth val="0"/>
        </c:ser>
        <c:axId val="57759989"/>
        <c:axId val="50077854"/>
      </c:scatterChart>
      <c:valAx>
        <c:axId val="577599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particle diameter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crossBetween val="midCat"/>
        <c:dispUnits/>
      </c:valAx>
      <c:valAx>
        <c:axId val="50077854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logGSD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59989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4975"/>
          <c:w val="0.18075"/>
          <c:h val="0.8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'particle size'!$C$3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size'!$C$4:$C$15</c:f>
              <c:numCache>
                <c:ptCount val="12"/>
                <c:pt idx="1">
                  <c:v>0.08450704225352113</c:v>
                </c:pt>
                <c:pt idx="2">
                  <c:v>0.0967741935483871</c:v>
                </c:pt>
                <c:pt idx="3">
                  <c:v>0.09433962264150944</c:v>
                </c:pt>
                <c:pt idx="4">
                  <c:v>0.09090909090909091</c:v>
                </c:pt>
                <c:pt idx="5">
                  <c:v>0.16216216216216217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'particle size'!$D$3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size'!$D$4:$D$15</c:f>
              <c:numCache>
                <c:ptCount val="12"/>
                <c:pt idx="1">
                  <c:v>0.12244897959183673</c:v>
                </c:pt>
                <c:pt idx="2">
                  <c:v>0.10256410256410256</c:v>
                </c:pt>
                <c:pt idx="3">
                  <c:v>0.15625</c:v>
                </c:pt>
                <c:pt idx="4">
                  <c:v>0.17391304347826086</c:v>
                </c:pt>
                <c:pt idx="5">
                  <c:v>0.33333333333333337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'particle size'!$E$3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size'!$E$4:$E$15</c:f>
              <c:numCache>
                <c:ptCount val="12"/>
                <c:pt idx="1">
                  <c:v>0.05357142857142856</c:v>
                </c:pt>
                <c:pt idx="2">
                  <c:v>0.08333333333333334</c:v>
                </c:pt>
                <c:pt idx="3">
                  <c:v>0.12820512820512822</c:v>
                </c:pt>
                <c:pt idx="4">
                  <c:v>0.20689655172413793</c:v>
                </c:pt>
                <c:pt idx="5">
                  <c:v>0.20689655172413793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'particle size'!$F$3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size'!$F$4:$F$15</c:f>
              <c:numCache>
                <c:ptCount val="12"/>
                <c:pt idx="1">
                  <c:v>0.058823529411764705</c:v>
                </c:pt>
                <c:pt idx="2">
                  <c:v>0.05</c:v>
                </c:pt>
                <c:pt idx="3">
                  <c:v>0.07692307692307693</c:v>
                </c:pt>
                <c:pt idx="4">
                  <c:v>0.12195121951219513</c:v>
                </c:pt>
                <c:pt idx="5">
                  <c:v>0.21875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'particle size'!$G$3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size'!$G$4:$G$15</c:f>
              <c:numCache>
                <c:ptCount val="12"/>
                <c:pt idx="1">
                  <c:v>0.12</c:v>
                </c:pt>
                <c:pt idx="2">
                  <c:v>0.06818181818181818</c:v>
                </c:pt>
                <c:pt idx="3">
                  <c:v>0.11111111111111112</c:v>
                </c:pt>
                <c:pt idx="4">
                  <c:v>0.14814814814814814</c:v>
                </c:pt>
                <c:pt idx="5">
                  <c:v>0.1904761904761905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'particle size'!$H$3</c:f>
              <c:strCache>
                <c:ptCount val="1"/>
                <c:pt idx="0">
                  <c:v>Anderson et al 1988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size'!$H$4:$H$15</c:f>
              <c:numCache>
                <c:ptCount val="12"/>
                <c:pt idx="1">
                  <c:v>0.047619047619047616</c:v>
                </c:pt>
                <c:pt idx="2">
                  <c:v>0.03448275862068966</c:v>
                </c:pt>
                <c:pt idx="3">
                  <c:v>0.08695652173913043</c:v>
                </c:pt>
                <c:pt idx="4">
                  <c:v>0.1</c:v>
                </c:pt>
                <c:pt idx="5">
                  <c:v>0.11111111111111112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'particle size'!$I$3</c:f>
              <c:strCache>
                <c:ptCount val="1"/>
                <c:pt idx="0">
                  <c:v>Pritchard et 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'particle size'!$B$4:$B$15</c:f>
              <c:numCache>
                <c:ptCount val="12"/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0.13</c:v>
                </c:pt>
                <c:pt idx="5">
                  <c:v>0.24</c:v>
                </c:pt>
                <c:pt idx="6">
                  <c:v>2.5</c:v>
                </c:pt>
                <c:pt idx="7">
                  <c:v>3.5</c:v>
                </c:pt>
                <c:pt idx="8">
                  <c:v>5</c:v>
                </c:pt>
                <c:pt idx="9">
                  <c:v>2.5</c:v>
                </c:pt>
                <c:pt idx="10">
                  <c:v>3.5</c:v>
                </c:pt>
                <c:pt idx="11">
                  <c:v>5</c:v>
                </c:pt>
              </c:numCache>
            </c:numRef>
          </c:xVal>
          <c:yVal>
            <c:numRef>
              <c:f>'particle size'!$I$4:$I$15</c:f>
              <c:numCache>
                <c:ptCount val="12"/>
                <c:pt idx="6">
                  <c:v>0.05</c:v>
                </c:pt>
                <c:pt idx="7">
                  <c:v>0.04</c:v>
                </c:pt>
                <c:pt idx="8">
                  <c:v>0.02</c:v>
                </c:pt>
                <c:pt idx="9">
                  <c:v>0.06</c:v>
                </c:pt>
                <c:pt idx="10">
                  <c:v>0.02</c:v>
                </c:pt>
                <c:pt idx="11">
                  <c:v>0.03</c:v>
                </c:pt>
              </c:numCache>
            </c:numRef>
          </c:yVal>
          <c:smooth val="0"/>
        </c:ser>
        <c:axId val="48047503"/>
        <c:axId val="29774344"/>
      </c:scatterChart>
      <c:valAx>
        <c:axId val="4804750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crossBetween val="midCat"/>
        <c:dispUnits/>
      </c:valAx>
      <c:val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'[1]ChanAlv.tif Picture_data'!$G$6:$G$37</c:f>
              <c:numCache>
                <c:ptCount val="32"/>
                <c:pt idx="0">
                  <c:v>2.375</c:v>
                </c:pt>
                <c:pt idx="1">
                  <c:v>3.199</c:v>
                </c:pt>
                <c:pt idx="2">
                  <c:v>2.856</c:v>
                </c:pt>
                <c:pt idx="3">
                  <c:v>4.469</c:v>
                </c:pt>
                <c:pt idx="4">
                  <c:v>4.087</c:v>
                </c:pt>
                <c:pt idx="5">
                  <c:v>4.245</c:v>
                </c:pt>
                <c:pt idx="6">
                  <c:v>4.057</c:v>
                </c:pt>
                <c:pt idx="7">
                  <c:v>4.96</c:v>
                </c:pt>
                <c:pt idx="8">
                  <c:v>2.829</c:v>
                </c:pt>
                <c:pt idx="9">
                  <c:v>3.194</c:v>
                </c:pt>
                <c:pt idx="10">
                  <c:v>3.322</c:v>
                </c:pt>
                <c:pt idx="11">
                  <c:v>4.27</c:v>
                </c:pt>
                <c:pt idx="12">
                  <c:v>4.331</c:v>
                </c:pt>
                <c:pt idx="13">
                  <c:v>4.139</c:v>
                </c:pt>
                <c:pt idx="14">
                  <c:v>4.214</c:v>
                </c:pt>
                <c:pt idx="15">
                  <c:v>5.118</c:v>
                </c:pt>
                <c:pt idx="16">
                  <c:v>3.201</c:v>
                </c:pt>
                <c:pt idx="17">
                  <c:v>3.251</c:v>
                </c:pt>
                <c:pt idx="18">
                  <c:v>4.185</c:v>
                </c:pt>
                <c:pt idx="19">
                  <c:v>4.057</c:v>
                </c:pt>
                <c:pt idx="20">
                  <c:v>4.393</c:v>
                </c:pt>
                <c:pt idx="21">
                  <c:v>4.466</c:v>
                </c:pt>
                <c:pt idx="22">
                  <c:v>5.198</c:v>
                </c:pt>
                <c:pt idx="23">
                  <c:v>7.533</c:v>
                </c:pt>
                <c:pt idx="24">
                  <c:v>6.687</c:v>
                </c:pt>
                <c:pt idx="25">
                  <c:v>6.442</c:v>
                </c:pt>
                <c:pt idx="26">
                  <c:v>6.737</c:v>
                </c:pt>
                <c:pt idx="27">
                  <c:v>7.416</c:v>
                </c:pt>
                <c:pt idx="28">
                  <c:v>5.344</c:v>
                </c:pt>
                <c:pt idx="29">
                  <c:v>5.148</c:v>
                </c:pt>
                <c:pt idx="30">
                  <c:v>5.296</c:v>
                </c:pt>
                <c:pt idx="31">
                  <c:v>5.068</c:v>
                </c:pt>
              </c:numCache>
            </c:numRef>
          </c:xVal>
          <c:yVal>
            <c:numRef>
              <c:f>'[1]ChanAlv.tif Picture_data'!$H$6:$H$37</c:f>
              <c:numCache>
                <c:ptCount val="32"/>
                <c:pt idx="0">
                  <c:v>0.5146</c:v>
                </c:pt>
                <c:pt idx="1">
                  <c:v>0.5494</c:v>
                </c:pt>
                <c:pt idx="2">
                  <c:v>0.4945</c:v>
                </c:pt>
                <c:pt idx="3">
                  <c:v>0.5514</c:v>
                </c:pt>
                <c:pt idx="4">
                  <c:v>0.5149</c:v>
                </c:pt>
                <c:pt idx="5">
                  <c:v>0.4914</c:v>
                </c:pt>
                <c:pt idx="6">
                  <c:v>0.4685</c:v>
                </c:pt>
                <c:pt idx="7">
                  <c:v>0.4204</c:v>
                </c:pt>
                <c:pt idx="8">
                  <c:v>0.4341</c:v>
                </c:pt>
                <c:pt idx="9">
                  <c:v>0.4099</c:v>
                </c:pt>
                <c:pt idx="10">
                  <c:v>0.3957</c:v>
                </c:pt>
                <c:pt idx="11">
                  <c:v>0.3983</c:v>
                </c:pt>
                <c:pt idx="12">
                  <c:v>0.3563</c:v>
                </c:pt>
                <c:pt idx="13">
                  <c:v>0.3334</c:v>
                </c:pt>
                <c:pt idx="14">
                  <c:v>0.3147</c:v>
                </c:pt>
                <c:pt idx="15">
                  <c:v>0.355</c:v>
                </c:pt>
                <c:pt idx="16">
                  <c:v>0.2936</c:v>
                </c:pt>
                <c:pt idx="17">
                  <c:v>0.2609</c:v>
                </c:pt>
                <c:pt idx="18">
                  <c:v>0.2729</c:v>
                </c:pt>
                <c:pt idx="19">
                  <c:v>0.208</c:v>
                </c:pt>
                <c:pt idx="20">
                  <c:v>0.1841</c:v>
                </c:pt>
                <c:pt idx="21">
                  <c:v>0.1561</c:v>
                </c:pt>
                <c:pt idx="22">
                  <c:v>0.06188</c:v>
                </c:pt>
                <c:pt idx="23">
                  <c:v>0.03102</c:v>
                </c:pt>
                <c:pt idx="24">
                  <c:v>0.06918</c:v>
                </c:pt>
                <c:pt idx="25">
                  <c:v>0.09738</c:v>
                </c:pt>
                <c:pt idx="26">
                  <c:v>0.1156</c:v>
                </c:pt>
                <c:pt idx="27">
                  <c:v>0.1939</c:v>
                </c:pt>
                <c:pt idx="28">
                  <c:v>0.2337</c:v>
                </c:pt>
                <c:pt idx="29">
                  <c:v>0.2619</c:v>
                </c:pt>
                <c:pt idx="30">
                  <c:v>0.3082</c:v>
                </c:pt>
                <c:pt idx="31">
                  <c:v>0.2946</c:v>
                </c:pt>
              </c:numCache>
            </c:numRef>
          </c:yVal>
          <c:smooth val="0"/>
        </c:ser>
        <c:axId val="36521385"/>
        <c:axId val="60257010"/>
      </c:scatterChart>
      <c:val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0257010"/>
        <c:crosses val="autoZero"/>
        <c:crossBetween val="midCat"/>
        <c:dispUnits/>
      </c:valAx>
      <c:valAx>
        <c:axId val="60257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DF alv.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6521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'Chan and Lippman'!$J$8:$J$19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442179"/>
        <c:axId val="48979612"/>
      </c:scatterChart>
      <c:valAx>
        <c:axId val="5442179"/>
        <c:scaling>
          <c:orientation val="minMax"/>
          <c:max val="1.2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8979612"/>
        <c:crosses val="autoZero"/>
        <c:crossBetween val="midCat"/>
        <c:dispUnits/>
        <c:minorUnit val="0.1"/>
      </c:val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DF alv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5442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Lippman'!$Q$53:$Q$86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'Chan and Lippman'!$R$53:$R$86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8163325"/>
        <c:axId val="7925606"/>
      </c:scatterChart>
      <c:val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crossBetween val="midCat"/>
        <c:dispUnits/>
      </c:val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DF tb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Lippman'!$I$53:$I$63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'Chan and Lippman'!$J$53:$J$63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221591"/>
        <c:axId val="37994320"/>
      </c:scatterChart>
      <c:valAx>
        <c:axId val="4221591"/>
        <c:scaling>
          <c:orientation val="minMax"/>
          <c:max val="1.2"/>
          <c:min val="0.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7994320"/>
        <c:crosses val="autoZero"/>
        <c:crossBetween val="midCat"/>
        <c:dispUnits/>
        <c:minorUnit val="0.1"/>
      </c:valAx>
      <c:valAx>
        <c:axId val="37994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221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Lippman'!$A$8:$A$20</c:f>
              <c:numCache>
                <c:ptCount val="13"/>
                <c:pt idx="0">
                  <c:v>0.1393</c:v>
                </c:pt>
                <c:pt idx="1">
                  <c:v>0.1402</c:v>
                </c:pt>
                <c:pt idx="2">
                  <c:v>0.1621</c:v>
                </c:pt>
                <c:pt idx="3">
                  <c:v>0.1722</c:v>
                </c:pt>
                <c:pt idx="4">
                  <c:v>0.1742</c:v>
                </c:pt>
                <c:pt idx="5">
                  <c:v>0.1956</c:v>
                </c:pt>
                <c:pt idx="6">
                  <c:v>0.2048</c:v>
                </c:pt>
                <c:pt idx="7">
                  <c:v>0.2057</c:v>
                </c:pt>
                <c:pt idx="8">
                  <c:v>0.2215</c:v>
                </c:pt>
                <c:pt idx="9">
                  <c:v>0.2299</c:v>
                </c:pt>
                <c:pt idx="10">
                  <c:v>0.2326</c:v>
                </c:pt>
                <c:pt idx="11">
                  <c:v>0.2462</c:v>
                </c:pt>
                <c:pt idx="12">
                  <c:v>0.2504</c:v>
                </c:pt>
              </c:numCache>
            </c:numRef>
          </c:xVal>
          <c:yVal>
            <c:numRef>
              <c:f>'Chan and Lippman'!$B$8:$B$20</c:f>
              <c:numCache>
                <c:ptCount val="13"/>
                <c:pt idx="0">
                  <c:v>0.1465</c:v>
                </c:pt>
                <c:pt idx="1">
                  <c:v>0.1883</c:v>
                </c:pt>
                <c:pt idx="2">
                  <c:v>0.1825</c:v>
                </c:pt>
                <c:pt idx="3">
                  <c:v>0.168</c:v>
                </c:pt>
                <c:pt idx="4">
                  <c:v>0.1121</c:v>
                </c:pt>
                <c:pt idx="5">
                  <c:v>0.181</c:v>
                </c:pt>
                <c:pt idx="6">
                  <c:v>0.2085</c:v>
                </c:pt>
                <c:pt idx="7">
                  <c:v>0.1062</c:v>
                </c:pt>
                <c:pt idx="8">
                  <c:v>0.04512</c:v>
                </c:pt>
                <c:pt idx="9">
                  <c:v>0.1471</c:v>
                </c:pt>
                <c:pt idx="10">
                  <c:v>0.09124</c:v>
                </c:pt>
                <c:pt idx="11">
                  <c:v>0.1838</c:v>
                </c:pt>
                <c:pt idx="12">
                  <c:v>0.1604</c:v>
                </c:pt>
              </c:numCache>
            </c:numRef>
          </c:yVal>
          <c:smooth val="0"/>
        </c:ser>
        <c:axId val="6404561"/>
        <c:axId val="57641050"/>
      </c:scatterChart>
      <c:valAx>
        <c:axId val="6404561"/>
        <c:scaling>
          <c:orientation val="minMax"/>
          <c:max val="0.26"/>
          <c:min val="0.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57641050"/>
        <c:crosses val="autoZero"/>
        <c:crossBetween val="midCat"/>
        <c:dispUnits/>
      </c:val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DF alv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404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Lippman'!$A$53:$A$64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'Chan and Lippman'!$B$53:$B$64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9007403"/>
        <c:axId val="38413444"/>
      </c:scatterChart>
      <c:valAx>
        <c:axId val="49007403"/>
        <c:scaling>
          <c:orientation val="minMax"/>
          <c:max val="0.24"/>
          <c:min val="0.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8413444"/>
        <c:crosses val="autoZero"/>
        <c:crossBetween val="midCat"/>
        <c:dispUnits/>
        <c:majorUnit val="0.4"/>
        <c:minorUnit val="0.24"/>
      </c:valAx>
      <c:valAx>
        <c:axId val="38413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9007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Lippman'!$Q$97:$Q$129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'Chan and Lippman'!$R$97:$R$129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10176677"/>
        <c:axId val="24481230"/>
      </c:scatterChart>
      <c:valAx>
        <c:axId val="10176677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4481230"/>
        <c:crosses val="autoZero"/>
        <c:crossBetween val="midCat"/>
        <c:dispUnits/>
      </c:valAx>
      <c:valAx>
        <c:axId val="24481230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DF alv.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0176677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'Chan and Lippman'!$I$97:$I$109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'Chan and Lippman'!$J$97:$J$109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9004479"/>
        <c:axId val="36822584"/>
      </c:scatterChart>
      <c:valAx>
        <c:axId val="19004479"/>
        <c:scaling>
          <c:orientation val="minMax"/>
          <c:max val="1.2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6822584"/>
        <c:crosses val="autoZero"/>
        <c:crossBetween val="midCat"/>
        <c:dispUnits/>
        <c:minorUnit val="0.1"/>
      </c:val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9004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49</xdr:row>
      <xdr:rowOff>142875</xdr:rowOff>
    </xdr:from>
    <xdr:to>
      <xdr:col>15</xdr:col>
      <xdr:colOff>466725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6753225" y="8143875"/>
        <a:ext cx="62865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7</xdr:row>
      <xdr:rowOff>0</xdr:rowOff>
    </xdr:from>
    <xdr:to>
      <xdr:col>22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5059025" y="1200150"/>
        <a:ext cx="3276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7</xdr:row>
      <xdr:rowOff>0</xdr:rowOff>
    </xdr:from>
    <xdr:to>
      <xdr:col>16</xdr:col>
      <xdr:colOff>38100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10020300" y="1200150"/>
        <a:ext cx="32766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52</xdr:row>
      <xdr:rowOff>9525</xdr:rowOff>
    </xdr:from>
    <xdr:to>
      <xdr:col>23</xdr:col>
      <xdr:colOff>276225</xdr:colOff>
      <xdr:row>81</xdr:row>
      <xdr:rowOff>133350</xdr:rowOff>
    </xdr:to>
    <xdr:graphicFrame>
      <xdr:nvGraphicFramePr>
        <xdr:cNvPr id="3" name="Chart 4"/>
        <xdr:cNvGraphicFramePr/>
      </xdr:nvGraphicFramePr>
      <xdr:xfrm>
        <a:off x="15039975" y="8486775"/>
        <a:ext cx="429577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51</xdr:row>
      <xdr:rowOff>9525</xdr:rowOff>
    </xdr:from>
    <xdr:to>
      <xdr:col>15</xdr:col>
      <xdr:colOff>819150</xdr:colOff>
      <xdr:row>76</xdr:row>
      <xdr:rowOff>0</xdr:rowOff>
    </xdr:to>
    <xdr:graphicFrame>
      <xdr:nvGraphicFramePr>
        <xdr:cNvPr id="4" name="Chart 5"/>
        <xdr:cNvGraphicFramePr/>
      </xdr:nvGraphicFramePr>
      <xdr:xfrm>
        <a:off x="9944100" y="8324850"/>
        <a:ext cx="33051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</xdr:row>
      <xdr:rowOff>152400</xdr:rowOff>
    </xdr:from>
    <xdr:to>
      <xdr:col>8</xdr:col>
      <xdr:colOff>0</xdr:colOff>
      <xdr:row>26</xdr:row>
      <xdr:rowOff>95250</xdr:rowOff>
    </xdr:to>
    <xdr:graphicFrame>
      <xdr:nvGraphicFramePr>
        <xdr:cNvPr id="5" name="Chart 6"/>
        <xdr:cNvGraphicFramePr/>
      </xdr:nvGraphicFramePr>
      <xdr:xfrm>
        <a:off x="3505200" y="1190625"/>
        <a:ext cx="31242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52</xdr:row>
      <xdr:rowOff>0</xdr:rowOff>
    </xdr:from>
    <xdr:to>
      <xdr:col>7</xdr:col>
      <xdr:colOff>800100</xdr:colOff>
      <xdr:row>69</xdr:row>
      <xdr:rowOff>95250</xdr:rowOff>
    </xdr:to>
    <xdr:graphicFrame>
      <xdr:nvGraphicFramePr>
        <xdr:cNvPr id="6" name="Chart 7"/>
        <xdr:cNvGraphicFramePr/>
      </xdr:nvGraphicFramePr>
      <xdr:xfrm>
        <a:off x="3495675" y="8477250"/>
        <a:ext cx="310515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38100</xdr:colOff>
      <xdr:row>96</xdr:row>
      <xdr:rowOff>0</xdr:rowOff>
    </xdr:from>
    <xdr:to>
      <xdr:col>24</xdr:col>
      <xdr:colOff>0</xdr:colOff>
      <xdr:row>118</xdr:row>
      <xdr:rowOff>9525</xdr:rowOff>
    </xdr:to>
    <xdr:graphicFrame>
      <xdr:nvGraphicFramePr>
        <xdr:cNvPr id="7" name="Chart 8"/>
        <xdr:cNvGraphicFramePr/>
      </xdr:nvGraphicFramePr>
      <xdr:xfrm>
        <a:off x="16611600" y="15601950"/>
        <a:ext cx="3276600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76200</xdr:colOff>
      <xdr:row>96</xdr:row>
      <xdr:rowOff>0</xdr:rowOff>
    </xdr:from>
    <xdr:to>
      <xdr:col>16</xdr:col>
      <xdr:colOff>38100</xdr:colOff>
      <xdr:row>118</xdr:row>
      <xdr:rowOff>76200</xdr:rowOff>
    </xdr:to>
    <xdr:graphicFrame>
      <xdr:nvGraphicFramePr>
        <xdr:cNvPr id="8" name="Chart 9"/>
        <xdr:cNvGraphicFramePr/>
      </xdr:nvGraphicFramePr>
      <xdr:xfrm>
        <a:off x="10020300" y="15601950"/>
        <a:ext cx="3276600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190500</xdr:colOff>
      <xdr:row>95</xdr:row>
      <xdr:rowOff>152400</xdr:rowOff>
    </xdr:from>
    <xdr:to>
      <xdr:col>8</xdr:col>
      <xdr:colOff>0</xdr:colOff>
      <xdr:row>115</xdr:row>
      <xdr:rowOff>95250</xdr:rowOff>
    </xdr:to>
    <xdr:graphicFrame>
      <xdr:nvGraphicFramePr>
        <xdr:cNvPr id="9" name="Chart 10"/>
        <xdr:cNvGraphicFramePr/>
      </xdr:nvGraphicFramePr>
      <xdr:xfrm>
        <a:off x="3505200" y="15592425"/>
        <a:ext cx="312420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695325</xdr:colOff>
      <xdr:row>17</xdr:row>
      <xdr:rowOff>0</xdr:rowOff>
    </xdr:from>
    <xdr:to>
      <xdr:col>39</xdr:col>
      <xdr:colOff>428625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30032325" y="2990850"/>
        <a:ext cx="3086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400050</xdr:colOff>
      <xdr:row>17</xdr:row>
      <xdr:rowOff>0</xdr:rowOff>
    </xdr:from>
    <xdr:to>
      <xdr:col>43</xdr:col>
      <xdr:colOff>190500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33089850" y="2990850"/>
        <a:ext cx="31432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666750</xdr:colOff>
      <xdr:row>18</xdr:row>
      <xdr:rowOff>95250</xdr:rowOff>
    </xdr:from>
    <xdr:to>
      <xdr:col>59</xdr:col>
      <xdr:colOff>695325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7605950" y="3162300"/>
        <a:ext cx="2543175" cy="95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590550</xdr:colOff>
      <xdr:row>43</xdr:row>
      <xdr:rowOff>95250</xdr:rowOff>
    </xdr:from>
    <xdr:to>
      <xdr:col>59</xdr:col>
      <xdr:colOff>695325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47529750" y="7210425"/>
        <a:ext cx="2619375" cy="84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552450</xdr:colOff>
      <xdr:row>50</xdr:row>
      <xdr:rowOff>76200</xdr:rowOff>
    </xdr:from>
    <xdr:to>
      <xdr:col>59</xdr:col>
      <xdr:colOff>704850</xdr:colOff>
      <xdr:row>56</xdr:row>
      <xdr:rowOff>38100</xdr:rowOff>
    </xdr:to>
    <xdr:graphicFrame>
      <xdr:nvGraphicFramePr>
        <xdr:cNvPr id="3" name="Chart 3"/>
        <xdr:cNvGraphicFramePr/>
      </xdr:nvGraphicFramePr>
      <xdr:xfrm>
        <a:off x="47491650" y="8324850"/>
        <a:ext cx="2667000" cy="93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ability%20data%20sets\datathief\ChanAlv.tif%20Picture_da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Alv.tif Picture_data"/>
    </sheetNames>
    <sheetDataSet>
      <sheetData sheetId="0">
        <row r="6">
          <cell r="G6">
            <v>2.375</v>
          </cell>
          <cell r="H6">
            <v>0.5146</v>
          </cell>
        </row>
        <row r="7">
          <cell r="G7">
            <v>3.199</v>
          </cell>
          <cell r="H7">
            <v>0.5494</v>
          </cell>
        </row>
        <row r="8">
          <cell r="G8">
            <v>2.856</v>
          </cell>
          <cell r="H8">
            <v>0.4945</v>
          </cell>
        </row>
        <row r="9">
          <cell r="G9">
            <v>4.469</v>
          </cell>
          <cell r="H9">
            <v>0.5514</v>
          </cell>
        </row>
        <row r="10">
          <cell r="G10">
            <v>4.087</v>
          </cell>
          <cell r="H10">
            <v>0.5149</v>
          </cell>
        </row>
        <row r="11">
          <cell r="G11">
            <v>4.245</v>
          </cell>
          <cell r="H11">
            <v>0.4914</v>
          </cell>
        </row>
        <row r="12">
          <cell r="G12">
            <v>4.057</v>
          </cell>
          <cell r="H12">
            <v>0.4685</v>
          </cell>
        </row>
        <row r="13">
          <cell r="G13">
            <v>4.96</v>
          </cell>
          <cell r="H13">
            <v>0.4204</v>
          </cell>
        </row>
        <row r="14">
          <cell r="G14">
            <v>2.829</v>
          </cell>
          <cell r="H14">
            <v>0.4341</v>
          </cell>
        </row>
        <row r="15">
          <cell r="G15">
            <v>3.194</v>
          </cell>
          <cell r="H15">
            <v>0.4099</v>
          </cell>
        </row>
        <row r="16">
          <cell r="G16">
            <v>3.322</v>
          </cell>
          <cell r="H16">
            <v>0.3957</v>
          </cell>
        </row>
        <row r="17">
          <cell r="G17">
            <v>4.27</v>
          </cell>
          <cell r="H17">
            <v>0.3983</v>
          </cell>
        </row>
        <row r="18">
          <cell r="G18">
            <v>4.331</v>
          </cell>
          <cell r="H18">
            <v>0.3563</v>
          </cell>
        </row>
        <row r="19">
          <cell r="G19">
            <v>4.139</v>
          </cell>
          <cell r="H19">
            <v>0.3334</v>
          </cell>
        </row>
        <row r="20">
          <cell r="G20">
            <v>4.214</v>
          </cell>
          <cell r="H20">
            <v>0.3147</v>
          </cell>
        </row>
        <row r="21">
          <cell r="G21">
            <v>5.118</v>
          </cell>
          <cell r="H21">
            <v>0.355</v>
          </cell>
        </row>
        <row r="22">
          <cell r="G22">
            <v>3.201</v>
          </cell>
          <cell r="H22">
            <v>0.2936</v>
          </cell>
        </row>
        <row r="23">
          <cell r="G23">
            <v>3.251</v>
          </cell>
          <cell r="H23">
            <v>0.2609</v>
          </cell>
        </row>
        <row r="24">
          <cell r="G24">
            <v>4.185</v>
          </cell>
          <cell r="H24">
            <v>0.2729</v>
          </cell>
        </row>
        <row r="25">
          <cell r="G25">
            <v>4.057</v>
          </cell>
          <cell r="H25">
            <v>0.208</v>
          </cell>
        </row>
        <row r="26">
          <cell r="G26">
            <v>4.393</v>
          </cell>
          <cell r="H26">
            <v>0.1841</v>
          </cell>
        </row>
        <row r="27">
          <cell r="G27">
            <v>4.466</v>
          </cell>
          <cell r="H27">
            <v>0.1561</v>
          </cell>
        </row>
        <row r="28">
          <cell r="G28">
            <v>5.198</v>
          </cell>
          <cell r="H28">
            <v>0.06188</v>
          </cell>
        </row>
        <row r="29">
          <cell r="G29">
            <v>7.533</v>
          </cell>
          <cell r="H29">
            <v>0.03102</v>
          </cell>
        </row>
        <row r="30">
          <cell r="G30">
            <v>6.687</v>
          </cell>
          <cell r="H30">
            <v>0.06918</v>
          </cell>
        </row>
        <row r="31">
          <cell r="G31">
            <v>6.442</v>
          </cell>
          <cell r="H31">
            <v>0.09738</v>
          </cell>
        </row>
        <row r="32">
          <cell r="G32">
            <v>6.737</v>
          </cell>
          <cell r="H32">
            <v>0.1156</v>
          </cell>
        </row>
        <row r="33">
          <cell r="G33">
            <v>7.416</v>
          </cell>
          <cell r="H33">
            <v>0.1939</v>
          </cell>
        </row>
        <row r="34">
          <cell r="G34">
            <v>5.344</v>
          </cell>
          <cell r="H34">
            <v>0.2337</v>
          </cell>
        </row>
        <row r="35">
          <cell r="G35">
            <v>5.148</v>
          </cell>
          <cell r="H35">
            <v>0.2619</v>
          </cell>
        </row>
        <row r="36">
          <cell r="G36">
            <v>5.296</v>
          </cell>
          <cell r="H36">
            <v>0.3082</v>
          </cell>
        </row>
        <row r="37">
          <cell r="G37">
            <v>5.068</v>
          </cell>
          <cell r="H37">
            <v>0.2946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&#26736;&#29807;&#12399;&#11832;&#29800;m" TargetMode="External" /><Relationship Id="rId2" Type="http://schemas.openxmlformats.org/officeDocument/2006/relationships/hyperlink" Target="&#26736;&#29807;&#12399;&#11825;&#29800;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&#26736;&#29807;&#12399;&#11832;&#29800;m" TargetMode="External" /><Relationship Id="rId2" Type="http://schemas.openxmlformats.org/officeDocument/2006/relationships/drawing" Target="../drawings/drawing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&#26736;&#29807;&#12399;&#11825;&#29800;m" TargetMode="External" /><Relationship Id="rId2" Type="http://schemas.openxmlformats.org/officeDocument/2006/relationships/hyperlink" Target="&#26736;&#29807;&#12399;&#11825;&#29800;m" TargetMode="External" /><Relationship Id="rId3" Type="http://schemas.openxmlformats.org/officeDocument/2006/relationships/hyperlink" Target="&#26736;&#29807;&#12399;&#11825;&#29800;m" TargetMode="External" /><Relationship Id="rId4" Type="http://schemas.openxmlformats.org/officeDocument/2006/relationships/hyperlink" Target="&#26736;&#29807;&#12399;&#11825;&#29800;m" TargetMode="External" /><Relationship Id="rId5" Type="http://schemas.openxmlformats.org/officeDocument/2006/relationships/hyperlink" Target="&#26736;&#29807;&#12399;&#11825;&#29800;m" TargetMode="External" /><Relationship Id="rId6" Type="http://schemas.openxmlformats.org/officeDocument/2006/relationships/hyperlink" Target="&#26736;&#29807;&#12399;&#11825;&#29800;m" TargetMode="External" /><Relationship Id="rId7" Type="http://schemas.openxmlformats.org/officeDocument/2006/relationships/hyperlink" Target="&#26736;&#29807;&#12399;&#11825;&#29800;m" TargetMode="External" /><Relationship Id="rId8" Type="http://schemas.openxmlformats.org/officeDocument/2006/relationships/hyperlink" Target="&#26736;&#29807;&#12399;&#11825;&#29800;m" TargetMode="External" /><Relationship Id="rId9" Type="http://schemas.openxmlformats.org/officeDocument/2006/relationships/hyperlink" Target="&#26736;&#29807;&#12399;&#11825;&#29800;m" TargetMode="External" /><Relationship Id="rId10" Type="http://schemas.openxmlformats.org/officeDocument/2006/relationships/hyperlink" Target="&#26736;&#29807;&#12399;&#11825;&#29800;m" TargetMode="External" /><Relationship Id="rId11" Type="http://schemas.openxmlformats.org/officeDocument/2006/relationships/hyperlink" Target="&#26736;&#29807;&#12399;&#11825;&#29800;m" TargetMode="External" /><Relationship Id="rId12" Type="http://schemas.openxmlformats.org/officeDocument/2006/relationships/hyperlink" Target="&#26736;&#29807;&#12399;&#11825;&#29800;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5" sqref="B5:B9"/>
    </sheetView>
  </sheetViews>
  <sheetFormatPr defaultColWidth="11.00390625" defaultRowHeight="12"/>
  <cols>
    <col min="13" max="13" width="12.875" style="0" bestFit="1" customWidth="1"/>
  </cols>
  <sheetData>
    <row r="1" ht="18.75">
      <c r="A1" s="52" t="s">
        <v>219</v>
      </c>
    </row>
    <row r="2" ht="12.75">
      <c r="A2" s="57" t="s">
        <v>220</v>
      </c>
    </row>
    <row r="3" ht="12.75">
      <c r="A3" s="57" t="s">
        <v>485</v>
      </c>
    </row>
    <row r="4" spans="1:13" ht="18.75">
      <c r="A4" t="s">
        <v>192</v>
      </c>
      <c r="C4" t="s">
        <v>414</v>
      </c>
      <c r="D4" t="s">
        <v>366</v>
      </c>
      <c r="E4" t="s">
        <v>126</v>
      </c>
      <c r="F4" t="s">
        <v>384</v>
      </c>
      <c r="G4" t="s">
        <v>2</v>
      </c>
      <c r="H4" t="s">
        <v>563</v>
      </c>
      <c r="J4" t="s">
        <v>384</v>
      </c>
      <c r="K4" t="s">
        <v>158</v>
      </c>
      <c r="M4" s="176" t="s">
        <v>159</v>
      </c>
    </row>
    <row r="5" spans="2:13" ht="18.75">
      <c r="B5" t="s">
        <v>193</v>
      </c>
      <c r="C5">
        <v>0.71</v>
      </c>
      <c r="D5">
        <v>0.06</v>
      </c>
      <c r="E5" s="3">
        <f>EXP(SQRT(LN(POWER(D5,2)/POWER(C5,2)+1)))</f>
        <v>1.0880169720195356</v>
      </c>
      <c r="F5" s="7">
        <f>LOG10(E5)</f>
        <v>0.036635669991703056</v>
      </c>
      <c r="G5">
        <f>LOG(C5/SQRT(POWER(D5,2)/POWER(C5,2)+1))</f>
        <v>-0.15028688426415202</v>
      </c>
      <c r="H5" s="3">
        <f>D5/C5</f>
        <v>0.08450704225352113</v>
      </c>
      <c r="J5">
        <v>0.06996962118302713</v>
      </c>
      <c r="K5">
        <v>-0.4374347139865595</v>
      </c>
      <c r="M5" s="177">
        <f>STDEV(O7:O15)</f>
        <v>0.08329557863291664</v>
      </c>
    </row>
    <row r="6" spans="2:8" ht="12.75">
      <c r="B6" t="s">
        <v>194</v>
      </c>
      <c r="C6">
        <v>0.62</v>
      </c>
      <c r="D6">
        <v>0.06</v>
      </c>
      <c r="E6" s="3">
        <f>EXP(SQRT(LN(POWER(D6,2)/POWER(C6,2)+1)))</f>
        <v>1.1013632792829628</v>
      </c>
      <c r="F6" s="7">
        <f>LOG10(E6)</f>
        <v>0.04193059250967854</v>
      </c>
      <c r="G6">
        <f>LOG(C6/SQRT(POWER(D6,2)/POWER(C6,2)+1))</f>
        <v>-0.20963248380059585</v>
      </c>
      <c r="H6" s="3">
        <f>D6/C6</f>
        <v>0.0967741935483871</v>
      </c>
    </row>
    <row r="7" spans="2:15" ht="12.75">
      <c r="B7" t="s">
        <v>53</v>
      </c>
      <c r="C7">
        <v>0.53</v>
      </c>
      <c r="D7">
        <v>0.05</v>
      </c>
      <c r="E7" s="3">
        <f>EXP(SQRT(LN(POWER(D7,2)/POWER(C7,2)+1)))</f>
        <v>1.0987033631109455</v>
      </c>
      <c r="F7" s="7">
        <f>LOG10(E7)</f>
        <v>0.04088045388530561</v>
      </c>
      <c r="G7">
        <f>LOG(C7/SQRT(POWER(D7,2)/POWER(C7,2)+1))</f>
        <v>-0.27764818375414274</v>
      </c>
      <c r="H7" s="3">
        <f>D7/C7</f>
        <v>0.09433962264150944</v>
      </c>
      <c r="I7">
        <v>1</v>
      </c>
      <c r="J7">
        <f>(I7-(3/8))/9.25</f>
        <v>0.06756756756756757</v>
      </c>
      <c r="K7">
        <f>NORMSINV(J7)</f>
        <v>-1.4941542758606374</v>
      </c>
      <c r="L7" s="174">
        <f>$K$5+($J$5*K7)</f>
        <v>-0.5419801226575285</v>
      </c>
      <c r="M7" s="175">
        <f>POWER(10,L7)</f>
        <v>0.2870911978570271</v>
      </c>
      <c r="N7" s="38">
        <f>-LN(1-M7)</f>
        <v>0.3384017739815258</v>
      </c>
      <c r="O7">
        <f>LOG(N7)</f>
        <v>-0.47056736895343876</v>
      </c>
    </row>
    <row r="8" spans="2:15" ht="12.75">
      <c r="B8" t="s">
        <v>483</v>
      </c>
      <c r="C8">
        <v>0.44</v>
      </c>
      <c r="D8">
        <v>0.04</v>
      </c>
      <c r="E8" s="3">
        <f>EXP(SQRT(LN(POWER(D8,2)/POWER(C8,2)+1)))</f>
        <v>1.094964670529427</v>
      </c>
      <c r="F8" s="7">
        <f>LOG10(E8)</f>
        <v>0.039400106718012806</v>
      </c>
      <c r="G8">
        <f>LOG(C8/SQRT(POWER(D8,2)/POWER(C8,2)+1))</f>
        <v>-0.3583345536929617</v>
      </c>
      <c r="H8" s="3">
        <f>D8/C8</f>
        <v>0.09090909090909091</v>
      </c>
      <c r="I8">
        <v>2</v>
      </c>
      <c r="J8">
        <f aca="true" t="shared" si="0" ref="J8:J15">(I8-(3/8))/9.25</f>
        <v>0.17567567567567569</v>
      </c>
      <c r="K8">
        <f aca="true" t="shared" si="1" ref="K8:K15">NORMSINV(J8)</f>
        <v>-0.9319705895904917</v>
      </c>
      <c r="L8" s="174">
        <f aca="true" t="shared" si="2" ref="L8:L15">$K$5+($J$5*K8)</f>
        <v>-0.5026443430939287</v>
      </c>
      <c r="M8" s="175">
        <f aca="true" t="shared" si="3" ref="M8:M15">POWER(10,L8)</f>
        <v>0.3143081604945692</v>
      </c>
      <c r="N8" s="38">
        <f aca="true" t="shared" si="4" ref="N8:N15">-LN(1-M8)</f>
        <v>0.37732696573181906</v>
      </c>
      <c r="O8">
        <f aca="true" t="shared" si="5" ref="O8:O15">LOG(N8)</f>
        <v>-0.42328215676546926</v>
      </c>
    </row>
    <row r="9" spans="2:15" ht="12.75">
      <c r="B9" t="s">
        <v>484</v>
      </c>
      <c r="C9">
        <v>0.37</v>
      </c>
      <c r="D9">
        <v>0.06</v>
      </c>
      <c r="E9" s="3">
        <f>EXP(SQRT(LN(POWER(D9,2)/POWER(C9,2)+1)))</f>
        <v>1.1748153739518001</v>
      </c>
      <c r="F9" s="7">
        <f>LOG10(E9)</f>
        <v>0.06996962118302713</v>
      </c>
      <c r="G9">
        <f>LOG(C9/SQRT(POWER(D9,2)/POWER(C9,2)+1))</f>
        <v>-0.4374347139865595</v>
      </c>
      <c r="H9" s="3">
        <f>D9/C9</f>
        <v>0.16216216216216217</v>
      </c>
      <c r="I9">
        <v>3</v>
      </c>
      <c r="J9">
        <f t="shared" si="0"/>
        <v>0.28378378378378377</v>
      </c>
      <c r="K9">
        <f t="shared" si="1"/>
        <v>-0.5716378836950753</v>
      </c>
      <c r="L9" s="174">
        <f t="shared" si="2"/>
        <v>-0.4774320001625712</v>
      </c>
      <c r="M9" s="175">
        <f t="shared" si="3"/>
        <v>0.33309491269909286</v>
      </c>
      <c r="N9" s="38">
        <f t="shared" si="4"/>
        <v>0.4051075410915095</v>
      </c>
      <c r="O9">
        <f t="shared" si="5"/>
        <v>-0.39242967233369813</v>
      </c>
    </row>
    <row r="10" spans="9:15" ht="12.75">
      <c r="I10">
        <v>4</v>
      </c>
      <c r="J10">
        <f t="shared" si="0"/>
        <v>0.3918918918918919</v>
      </c>
      <c r="K10">
        <f t="shared" si="1"/>
        <v>-0.274392277788138</v>
      </c>
      <c r="L10" s="174">
        <f t="shared" si="2"/>
        <v>-0.45663383771894345</v>
      </c>
      <c r="M10" s="175">
        <f t="shared" si="3"/>
        <v>0.34943480672328414</v>
      </c>
      <c r="N10" s="38">
        <f t="shared" si="4"/>
        <v>0.42991376579500273</v>
      </c>
      <c r="O10">
        <f t="shared" si="5"/>
        <v>-0.3666186485952665</v>
      </c>
    </row>
    <row r="11" spans="1:15" ht="12.75">
      <c r="A11" t="s">
        <v>486</v>
      </c>
      <c r="C11" t="s">
        <v>414</v>
      </c>
      <c r="D11" t="s">
        <v>366</v>
      </c>
      <c r="E11" t="s">
        <v>126</v>
      </c>
      <c r="F11" t="s">
        <v>384</v>
      </c>
      <c r="H11" t="s">
        <v>563</v>
      </c>
      <c r="I11">
        <v>5</v>
      </c>
      <c r="J11">
        <f t="shared" si="0"/>
        <v>0.5</v>
      </c>
      <c r="K11">
        <f t="shared" si="1"/>
        <v>0</v>
      </c>
      <c r="L11" s="174">
        <f t="shared" si="2"/>
        <v>-0.4374347139865595</v>
      </c>
      <c r="M11" s="175">
        <f t="shared" si="3"/>
        <v>0.36522902676660635</v>
      </c>
      <c r="N11" s="38">
        <f t="shared" si="4"/>
        <v>0.45449101722065693</v>
      </c>
      <c r="O11">
        <f t="shared" si="5"/>
        <v>-0.3424746959624822</v>
      </c>
    </row>
    <row r="12" spans="1:15" ht="12.75">
      <c r="A12" t="s">
        <v>487</v>
      </c>
      <c r="B12" t="s">
        <v>193</v>
      </c>
      <c r="C12">
        <v>0.49</v>
      </c>
      <c r="D12">
        <v>0.06</v>
      </c>
      <c r="E12" s="3">
        <f>EXP(SQRT(LN(POWER(D12,2)/POWER(C12,2)+1)))</f>
        <v>1.1297469591825324</v>
      </c>
      <c r="F12" s="7">
        <f>LOG10(E12)</f>
        <v>0.052981181061416915</v>
      </c>
      <c r="H12" s="3">
        <f>D12/C12</f>
        <v>0.12244897959183673</v>
      </c>
      <c r="I12">
        <v>6</v>
      </c>
      <c r="J12">
        <f t="shared" si="0"/>
        <v>0.6081081081081081</v>
      </c>
      <c r="K12">
        <f t="shared" si="1"/>
        <v>0.274392277788138</v>
      </c>
      <c r="L12" s="174">
        <f t="shared" si="2"/>
        <v>-0.4182355902541755</v>
      </c>
      <c r="M12" s="175">
        <f t="shared" si="3"/>
        <v>0.3817371350144727</v>
      </c>
      <c r="N12" s="38">
        <f t="shared" si="4"/>
        <v>0.48084156408618806</v>
      </c>
      <c r="O12">
        <f t="shared" si="5"/>
        <v>-0.31799799883999835</v>
      </c>
    </row>
    <row r="13" spans="2:15" ht="12.75">
      <c r="B13" t="s">
        <v>194</v>
      </c>
      <c r="C13">
        <v>0.39</v>
      </c>
      <c r="D13">
        <v>0.04</v>
      </c>
      <c r="E13" s="3">
        <f>EXP(SQRT(LN(POWER(D13,2)/POWER(C13,2)+1)))</f>
        <v>1.1077111956446895</v>
      </c>
      <c r="F13" s="7">
        <f>LOG10(E13)</f>
        <v>0.04442654515134717</v>
      </c>
      <c r="H13" s="3">
        <f>D13/C13</f>
        <v>0.10256410256410256</v>
      </c>
      <c r="I13">
        <v>7</v>
      </c>
      <c r="J13">
        <f t="shared" si="0"/>
        <v>0.7162162162162162</v>
      </c>
      <c r="K13">
        <f t="shared" si="1"/>
        <v>0.5716378836950753</v>
      </c>
      <c r="L13" s="174">
        <f t="shared" si="2"/>
        <v>-0.39743742781054775</v>
      </c>
      <c r="M13" s="175">
        <f t="shared" si="3"/>
        <v>0.40046316202188503</v>
      </c>
      <c r="N13" s="38">
        <f t="shared" si="4"/>
        <v>0.5115978585656868</v>
      </c>
      <c r="O13">
        <f t="shared" si="5"/>
        <v>-0.29107128204923194</v>
      </c>
    </row>
    <row r="14" spans="2:15" ht="12.75">
      <c r="B14" t="s">
        <v>53</v>
      </c>
      <c r="C14">
        <v>0.32</v>
      </c>
      <c r="D14">
        <v>0.05</v>
      </c>
      <c r="E14" s="3">
        <f>EXP(SQRT(LN(POWER(D14,2)/POWER(C14,2)+1)))</f>
        <v>1.1680185122474458</v>
      </c>
      <c r="F14" s="7">
        <f>LOG10(E14)</f>
        <v>0.06744972608391558</v>
      </c>
      <c r="H14" s="3">
        <f>D14/C14</f>
        <v>0.15625</v>
      </c>
      <c r="I14">
        <v>8</v>
      </c>
      <c r="J14">
        <f t="shared" si="0"/>
        <v>0.8243243243243243</v>
      </c>
      <c r="K14">
        <f t="shared" si="1"/>
        <v>0.9319705895904917</v>
      </c>
      <c r="L14" s="174">
        <f t="shared" si="2"/>
        <v>-0.3722250848791903</v>
      </c>
      <c r="M14" s="175">
        <f t="shared" si="3"/>
        <v>0.4243995503743444</v>
      </c>
      <c r="N14" s="38">
        <f t="shared" si="4"/>
        <v>0.5523415228266728</v>
      </c>
      <c r="O14">
        <f t="shared" si="5"/>
        <v>-0.2577923070268197</v>
      </c>
    </row>
    <row r="15" spans="2:15" ht="12.75">
      <c r="B15" t="s">
        <v>483</v>
      </c>
      <c r="C15">
        <v>0.23</v>
      </c>
      <c r="D15">
        <v>0.04</v>
      </c>
      <c r="E15" s="3">
        <f>EXP(SQRT(LN(POWER(D15,2)/POWER(C15,2)+1)))</f>
        <v>1.1884133836110984</v>
      </c>
      <c r="F15" s="7">
        <f>LOG10(E15)</f>
        <v>0.07496753407383344</v>
      </c>
      <c r="H15" s="3">
        <f>D15/C15</f>
        <v>0.17391304347826086</v>
      </c>
      <c r="I15">
        <v>9</v>
      </c>
      <c r="J15">
        <f t="shared" si="0"/>
        <v>0.9324324324324325</v>
      </c>
      <c r="K15">
        <f t="shared" si="1"/>
        <v>1.4941542758606374</v>
      </c>
      <c r="L15" s="174">
        <f t="shared" si="2"/>
        <v>-0.33288930531559047</v>
      </c>
      <c r="M15" s="175">
        <f t="shared" si="3"/>
        <v>0.46463368779182324</v>
      </c>
      <c r="N15" s="38">
        <f t="shared" si="4"/>
        <v>0.6248040706670821</v>
      </c>
      <c r="O15">
        <f t="shared" si="5"/>
        <v>-0.20425614964533276</v>
      </c>
    </row>
    <row r="16" spans="2:8" ht="12.75">
      <c r="B16" t="s">
        <v>484</v>
      </c>
      <c r="C16">
        <v>0.12</v>
      </c>
      <c r="D16">
        <v>0.04</v>
      </c>
      <c r="E16" s="3">
        <f>EXP(SQRT(LN(POWER(D16,2)/POWER(C16,2)+1)))</f>
        <v>1.3834672470346843</v>
      </c>
      <c r="F16" s="7">
        <f>LOG10(E16)</f>
        <v>0.14096888187199805</v>
      </c>
      <c r="H16" s="3">
        <f>D16/C16</f>
        <v>0.33333333333333337</v>
      </c>
    </row>
    <row r="18" spans="1:8" ht="12.75">
      <c r="A18" t="s">
        <v>488</v>
      </c>
      <c r="C18" t="s">
        <v>414</v>
      </c>
      <c r="D18" t="s">
        <v>366</v>
      </c>
      <c r="E18" t="s">
        <v>126</v>
      </c>
      <c r="F18" t="s">
        <v>384</v>
      </c>
      <c r="H18" t="s">
        <v>563</v>
      </c>
    </row>
    <row r="19" spans="1:8" ht="12.75">
      <c r="A19" t="s">
        <v>487</v>
      </c>
      <c r="B19" t="s">
        <v>193</v>
      </c>
      <c r="C19">
        <v>0.56</v>
      </c>
      <c r="D19">
        <v>0.03</v>
      </c>
      <c r="E19" s="3">
        <f>EXP(SQRT(LN(POWER(D19,2)/POWER(C19,2)+1)))</f>
        <v>1.0549918608592601</v>
      </c>
      <c r="F19" s="7">
        <f>LOG10(E19)</f>
        <v>0.023249109114710564</v>
      </c>
      <c r="H19" s="3">
        <f>D19/C19</f>
        <v>0.05357142857142856</v>
      </c>
    </row>
    <row r="20" spans="2:8" ht="12.75">
      <c r="B20" t="s">
        <v>194</v>
      </c>
      <c r="C20">
        <v>0.48</v>
      </c>
      <c r="D20">
        <v>0.04</v>
      </c>
      <c r="E20" s="3">
        <f>EXP(SQRT(LN(POWER(D20,2)/POWER(C20,2)+1)))</f>
        <v>1.0867474007136515</v>
      </c>
      <c r="F20" s="7">
        <f>LOG10(E20)</f>
        <v>0.036128610117010324</v>
      </c>
      <c r="H20" s="3">
        <f>D20/C20</f>
        <v>0.08333333333333334</v>
      </c>
    </row>
    <row r="21" spans="2:8" ht="12.75">
      <c r="B21" t="s">
        <v>53</v>
      </c>
      <c r="C21">
        <v>0.39</v>
      </c>
      <c r="D21">
        <v>0.05</v>
      </c>
      <c r="E21" s="3">
        <f>EXP(SQRT(LN(POWER(D21,2)/POWER(C21,2)+1)))</f>
        <v>1.1361927208790286</v>
      </c>
      <c r="F21" s="7">
        <f>LOG10(E21)</f>
        <v>0.05545200260344937</v>
      </c>
      <c r="H21" s="3">
        <f>D21/C21</f>
        <v>0.12820512820512822</v>
      </c>
    </row>
    <row r="22" spans="2:8" ht="12.75">
      <c r="B22" t="s">
        <v>483</v>
      </c>
      <c r="C22">
        <v>0.29</v>
      </c>
      <c r="D22">
        <v>0.06</v>
      </c>
      <c r="E22" s="3">
        <f>EXP(SQRT(LN(POWER(D22,2)/POWER(C22,2)+1)))</f>
        <v>1.2271965536395741</v>
      </c>
      <c r="F22" s="7">
        <f>LOG10(E22)</f>
        <v>0.08891412696880953</v>
      </c>
      <c r="H22" s="3">
        <f>D22/C22</f>
        <v>0.20689655172413793</v>
      </c>
    </row>
    <row r="23" spans="2:8" ht="12.75">
      <c r="B23" t="s">
        <v>484</v>
      </c>
      <c r="C23">
        <v>0.29</v>
      </c>
      <c r="D23">
        <v>0.06</v>
      </c>
      <c r="E23" s="3">
        <f>EXP(SQRT(LN(POWER(D23,2)/POWER(C23,2)+1)))</f>
        <v>1.2271965536395741</v>
      </c>
      <c r="F23" s="7">
        <f>LOG10(E23)</f>
        <v>0.08891412696880953</v>
      </c>
      <c r="H23" s="3">
        <f>D23/C23</f>
        <v>0.20689655172413793</v>
      </c>
    </row>
    <row r="25" spans="1:8" ht="12.75">
      <c r="A25" t="s">
        <v>489</v>
      </c>
      <c r="C25" t="s">
        <v>414</v>
      </c>
      <c r="D25" t="s">
        <v>366</v>
      </c>
      <c r="E25" t="s">
        <v>126</v>
      </c>
      <c r="F25" t="s">
        <v>384</v>
      </c>
      <c r="H25" t="s">
        <v>563</v>
      </c>
    </row>
    <row r="26" spans="1:8" ht="12.75">
      <c r="A26" t="s">
        <v>487</v>
      </c>
      <c r="B26" t="s">
        <v>193</v>
      </c>
      <c r="C26">
        <v>0.68</v>
      </c>
      <c r="D26">
        <v>0.04</v>
      </c>
      <c r="E26" s="3">
        <f>EXP(SQRT(LN(POWER(D26,2)/POWER(C26,2)+1)))</f>
        <v>1.0605341954564687</v>
      </c>
      <c r="F26" s="7">
        <f>LOG10(E26)</f>
        <v>0.025524676302485984</v>
      </c>
      <c r="H26" s="3">
        <f>D26/C26</f>
        <v>0.058823529411764705</v>
      </c>
    </row>
    <row r="27" spans="2:8" ht="12.75">
      <c r="B27" t="s">
        <v>194</v>
      </c>
      <c r="C27">
        <v>0.6</v>
      </c>
      <c r="D27">
        <v>0.03</v>
      </c>
      <c r="E27" s="3">
        <f>EXP(SQRT(LN(POWER(D27,2)/POWER(C27,2)+1)))</f>
        <v>1.0512382890788499</v>
      </c>
      <c r="F27" s="7">
        <f>LOG10(E27)</f>
        <v>0.021701170740082584</v>
      </c>
      <c r="H27" s="3">
        <f>D27/C27</f>
        <v>0.05</v>
      </c>
    </row>
    <row r="28" spans="2:8" ht="12.75">
      <c r="B28" t="s">
        <v>53</v>
      </c>
      <c r="C28">
        <v>0.52</v>
      </c>
      <c r="D28">
        <v>0.04</v>
      </c>
      <c r="E28" s="3">
        <f>EXP(SQRT(LN(POWER(D28,2)/POWER(C28,2)+1)))</f>
        <v>1.0798365085011923</v>
      </c>
      <c r="F28" s="7">
        <f>LOG10(E28)</f>
        <v>0.033358006569727094</v>
      </c>
      <c r="H28" s="3">
        <f>D28/C28</f>
        <v>0.07692307692307693</v>
      </c>
    </row>
    <row r="29" spans="2:8" ht="12.75">
      <c r="B29" t="s">
        <v>483</v>
      </c>
      <c r="C29">
        <v>0.41</v>
      </c>
      <c r="D29">
        <v>0.05</v>
      </c>
      <c r="E29" s="3">
        <f>EXP(SQRT(LN(POWER(D29,2)/POWER(C29,2)+1)))</f>
        <v>1.1291909674281422</v>
      </c>
      <c r="F29" s="7">
        <f>LOG10(E29)</f>
        <v>0.052767395500559436</v>
      </c>
      <c r="H29" s="3">
        <f>D29/C29</f>
        <v>0.12195121951219513</v>
      </c>
    </row>
    <row r="30" spans="2:8" ht="12.75">
      <c r="B30" t="s">
        <v>484</v>
      </c>
      <c r="C30">
        <v>0.32</v>
      </c>
      <c r="D30">
        <v>0.07</v>
      </c>
      <c r="E30" s="3">
        <f>EXP(SQRT(LN(POWER(D30,2)/POWER(C30,2)+1)))</f>
        <v>1.2413491803549985</v>
      </c>
      <c r="F30" s="7">
        <f>LOG10(E30)</f>
        <v>0.0938939618137034</v>
      </c>
      <c r="H30" s="3">
        <f>D30/C30</f>
        <v>0.21875000000000003</v>
      </c>
    </row>
    <row r="32" spans="1:8" ht="12.75">
      <c r="A32" t="s">
        <v>488</v>
      </c>
      <c r="C32" t="s">
        <v>414</v>
      </c>
      <c r="D32" t="s">
        <v>366</v>
      </c>
      <c r="E32" t="s">
        <v>126</v>
      </c>
      <c r="F32" t="s">
        <v>384</v>
      </c>
      <c r="H32" t="s">
        <v>563</v>
      </c>
    </row>
    <row r="33" spans="1:8" ht="12.75">
      <c r="A33" t="s">
        <v>346</v>
      </c>
      <c r="B33" t="s">
        <v>193</v>
      </c>
      <c r="C33">
        <v>0.5</v>
      </c>
      <c r="D33">
        <v>0.06</v>
      </c>
      <c r="E33" s="3">
        <f>EXP(SQRT(LN(POWER(D33,2)/POWER(C33,2)+1)))</f>
        <v>1.1270136392960728</v>
      </c>
      <c r="F33" s="7">
        <f>LOG10(E33)</f>
        <v>0.05192917197794143</v>
      </c>
      <c r="H33" s="3">
        <f>D33/C33</f>
        <v>0.12</v>
      </c>
    </row>
    <row r="34" spans="2:8" ht="12.75">
      <c r="B34" t="s">
        <v>194</v>
      </c>
      <c r="C34">
        <v>0.44</v>
      </c>
      <c r="D34">
        <v>0.03</v>
      </c>
      <c r="E34" s="3">
        <f>EXP(SQRT(LN(POWER(D34,2)/POWER(C34,2)+1)))</f>
        <v>1.0704753229174586</v>
      </c>
      <c r="F34" s="7">
        <f>LOG10(E34)</f>
        <v>0.029576660192526995</v>
      </c>
      <c r="H34" s="3">
        <f>D34/C34</f>
        <v>0.06818181818181818</v>
      </c>
    </row>
    <row r="35" spans="2:8" ht="12.75">
      <c r="B35" t="s">
        <v>53</v>
      </c>
      <c r="C35">
        <v>0.36</v>
      </c>
      <c r="D35">
        <v>0.04</v>
      </c>
      <c r="E35" s="3">
        <f>EXP(SQRT(LN(POWER(D35,2)/POWER(C35,2)+1)))</f>
        <v>1.1171384382838958</v>
      </c>
      <c r="F35" s="7">
        <f>LOG10(E35)</f>
        <v>0.048106995190218924</v>
      </c>
      <c r="H35" s="3">
        <f>D35/C35</f>
        <v>0.11111111111111112</v>
      </c>
    </row>
    <row r="36" spans="2:8" ht="12.75">
      <c r="B36" t="s">
        <v>483</v>
      </c>
      <c r="C36">
        <v>0.27</v>
      </c>
      <c r="D36">
        <v>0.04</v>
      </c>
      <c r="E36" s="3">
        <f>EXP(SQRT(LN(POWER(D36,2)/POWER(C36,2)+1)))</f>
        <v>1.158753417728574</v>
      </c>
      <c r="F36" s="7">
        <f>LOG10(E36)</f>
        <v>0.06399102810053313</v>
      </c>
      <c r="H36" s="3">
        <f>D36/C36</f>
        <v>0.14814814814814814</v>
      </c>
    </row>
    <row r="37" spans="2:8" ht="12.75">
      <c r="B37" t="s">
        <v>484</v>
      </c>
      <c r="C37">
        <v>0.21</v>
      </c>
      <c r="D37">
        <v>0.04</v>
      </c>
      <c r="E37" s="3">
        <f>EXP(SQRT(LN(POWER(D37,2)/POWER(C37,2)+1)))</f>
        <v>1.2077772185579976</v>
      </c>
      <c r="F37" s="7">
        <f>LOG10(E37)</f>
        <v>0.08198683356186494</v>
      </c>
      <c r="H37" s="3">
        <f>D37/C37</f>
        <v>0.1904761904761905</v>
      </c>
    </row>
    <row r="39" spans="1:8" ht="12.75">
      <c r="A39" t="s">
        <v>488</v>
      </c>
      <c r="C39" t="s">
        <v>414</v>
      </c>
      <c r="D39" t="s">
        <v>366</v>
      </c>
      <c r="E39" t="s">
        <v>126</v>
      </c>
      <c r="F39" t="s">
        <v>384</v>
      </c>
      <c r="H39" t="s">
        <v>563</v>
      </c>
    </row>
    <row r="40" spans="1:8" ht="12.75">
      <c r="A40" t="s">
        <v>347</v>
      </c>
      <c r="B40" t="s">
        <v>193</v>
      </c>
      <c r="C40">
        <v>0.63</v>
      </c>
      <c r="D40">
        <v>0.03</v>
      </c>
      <c r="E40" s="3">
        <f>EXP(SQRT(LN(POWER(D40,2)/POWER(C40,2)+1)))</f>
        <v>1.0487427709925545</v>
      </c>
      <c r="F40" s="7">
        <f>LOG10(E40)</f>
        <v>0.02066898024546843</v>
      </c>
      <c r="G40" s="3"/>
      <c r="H40" s="3">
        <f>D40/C40</f>
        <v>0.047619047619047616</v>
      </c>
    </row>
    <row r="41" spans="2:8" ht="12.75">
      <c r="B41" t="s">
        <v>194</v>
      </c>
      <c r="C41">
        <v>0.58</v>
      </c>
      <c r="D41">
        <v>0.02</v>
      </c>
      <c r="E41" s="3">
        <f>EXP(SQRT(LN(POWER(D41,2)/POWER(C41,2)+1)))</f>
        <v>1.0350735786718601</v>
      </c>
      <c r="F41" s="7">
        <f>LOG10(E41)</f>
        <v>0.014971222909252142</v>
      </c>
      <c r="G41" s="3"/>
      <c r="H41" s="3">
        <f>D41/C41</f>
        <v>0.03448275862068966</v>
      </c>
    </row>
    <row r="42" spans="2:8" ht="12.75">
      <c r="B42" t="s">
        <v>53</v>
      </c>
      <c r="C42">
        <v>0.46</v>
      </c>
      <c r="D42">
        <v>0.04</v>
      </c>
      <c r="E42" s="3">
        <f>EXP(SQRT(LN(POWER(D42,2)/POWER(C42,2)+1)))</f>
        <v>1.0906706830120843</v>
      </c>
      <c r="F42" s="7">
        <f>LOG10(E42)</f>
        <v>0.03769363955233749</v>
      </c>
      <c r="G42" s="3"/>
      <c r="H42" s="3">
        <f>D42/C42</f>
        <v>0.08695652173913043</v>
      </c>
    </row>
    <row r="43" spans="2:8" ht="12.75">
      <c r="B43" t="s">
        <v>483</v>
      </c>
      <c r="C43">
        <v>0.4</v>
      </c>
      <c r="D43">
        <v>0.04</v>
      </c>
      <c r="E43" s="3">
        <f>EXP(SQRT(LN(POWER(D43,2)/POWER(C43,2)+1)))</f>
        <v>1.1048961460962965</v>
      </c>
      <c r="F43" s="7">
        <f>LOG10(E43)</f>
        <v>0.043321458747865985</v>
      </c>
      <c r="G43" s="3"/>
      <c r="H43" s="3">
        <f>D43/C43</f>
        <v>0.09999999999999999</v>
      </c>
    </row>
    <row r="44" spans="2:8" ht="12.75">
      <c r="B44" t="s">
        <v>484</v>
      </c>
      <c r="C44">
        <v>0.36</v>
      </c>
      <c r="D44">
        <v>0.04</v>
      </c>
      <c r="E44" s="3">
        <f>EXP(SQRT(LN(POWER(D44,2)/POWER(C44,2)+1)))</f>
        <v>1.1171384382838958</v>
      </c>
      <c r="F44" s="7">
        <f>LOG10(E44)</f>
        <v>0.048106995190218924</v>
      </c>
      <c r="G44" s="3"/>
      <c r="H44" s="3">
        <f>D44/C44</f>
        <v>0.11111111111111112</v>
      </c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951"/>
  <sheetViews>
    <sheetView workbookViewId="0" topLeftCell="J826">
      <selection activeCell="N123" sqref="N123:N147"/>
    </sheetView>
  </sheetViews>
  <sheetFormatPr defaultColWidth="11.00390625" defaultRowHeight="12"/>
  <sheetData>
    <row r="1" ht="18.75">
      <c r="A1" s="50" t="s">
        <v>102</v>
      </c>
    </row>
    <row r="2" spans="1:48" ht="22.5">
      <c r="A2" s="84" t="s">
        <v>183</v>
      </c>
      <c r="L2" s="84" t="s">
        <v>367</v>
      </c>
      <c r="AG2" t="s">
        <v>258</v>
      </c>
      <c r="AH2" t="s">
        <v>324</v>
      </c>
      <c r="AI2" t="s">
        <v>258</v>
      </c>
      <c r="AJ2" t="s">
        <v>324</v>
      </c>
      <c r="AK2" t="s">
        <v>258</v>
      </c>
      <c r="AT2" t="s">
        <v>258</v>
      </c>
      <c r="AU2" t="s">
        <v>324</v>
      </c>
      <c r="AV2" t="s">
        <v>258</v>
      </c>
    </row>
    <row r="3" spans="1:49" ht="15.75">
      <c r="A3" s="61" t="s">
        <v>232</v>
      </c>
      <c r="L3" s="61" t="s">
        <v>232</v>
      </c>
      <c r="AE3" s="3">
        <v>0.16</v>
      </c>
      <c r="AG3" s="3">
        <v>0.16</v>
      </c>
      <c r="AH3">
        <v>1</v>
      </c>
      <c r="AI3" s="3">
        <v>0.18</v>
      </c>
      <c r="AJ3">
        <v>2</v>
      </c>
      <c r="AK3">
        <v>0.22</v>
      </c>
      <c r="AL3">
        <v>7</v>
      </c>
      <c r="AR3" s="3">
        <v>0.1743533871447778</v>
      </c>
      <c r="AT3" s="3">
        <v>0.18</v>
      </c>
      <c r="AU3">
        <v>1</v>
      </c>
      <c r="AV3">
        <v>0.22</v>
      </c>
      <c r="AW3">
        <v>5</v>
      </c>
    </row>
    <row r="4" spans="1:49" ht="12.75">
      <c r="A4" s="58" t="s">
        <v>103</v>
      </c>
      <c r="L4" s="58" t="s">
        <v>103</v>
      </c>
      <c r="AE4" s="3">
        <v>0.175</v>
      </c>
      <c r="AG4" s="3">
        <f>AG3+0.02</f>
        <v>0.18</v>
      </c>
      <c r="AH4">
        <v>1</v>
      </c>
      <c r="AI4" s="3">
        <f aca="true" t="shared" si="0" ref="AI4:AI9">AI3+0.04</f>
        <v>0.22</v>
      </c>
      <c r="AJ4">
        <v>5</v>
      </c>
      <c r="AK4">
        <v>0.3</v>
      </c>
      <c r="AL4">
        <v>16</v>
      </c>
      <c r="AR4" s="3">
        <v>0.1923718926474561</v>
      </c>
      <c r="AT4" s="3">
        <f>0.04+AT3</f>
        <v>0.22</v>
      </c>
      <c r="AU4">
        <v>4</v>
      </c>
      <c r="AV4">
        <v>0.3</v>
      </c>
      <c r="AW4">
        <v>8</v>
      </c>
    </row>
    <row r="5" spans="1:49" ht="12.75">
      <c r="A5" s="59" t="s">
        <v>463</v>
      </c>
      <c r="L5" s="59" t="s">
        <v>463</v>
      </c>
      <c r="AE5" s="3">
        <v>0.19</v>
      </c>
      <c r="AG5" s="3">
        <f aca="true" t="shared" si="1" ref="AG5:AG16">AG4+0.02</f>
        <v>0.19999999999999998</v>
      </c>
      <c r="AH5">
        <v>3</v>
      </c>
      <c r="AI5" s="3">
        <f t="shared" si="0"/>
        <v>0.26</v>
      </c>
      <c r="AJ5">
        <v>6</v>
      </c>
      <c r="AK5">
        <v>0.38</v>
      </c>
      <c r="AL5">
        <v>1</v>
      </c>
      <c r="AR5" s="3">
        <v>0.21072103131565253</v>
      </c>
      <c r="AT5" s="3">
        <f aca="true" t="shared" si="2" ref="AT5:AT10">0.04+AT4</f>
        <v>0.26</v>
      </c>
      <c r="AU5">
        <v>5</v>
      </c>
      <c r="AV5">
        <v>0.38</v>
      </c>
      <c r="AW5">
        <v>10</v>
      </c>
    </row>
    <row r="6" spans="1:49" ht="12.75">
      <c r="A6" t="s">
        <v>127</v>
      </c>
      <c r="B6" t="s">
        <v>509</v>
      </c>
      <c r="C6" t="s">
        <v>414</v>
      </c>
      <c r="G6" t="s">
        <v>207</v>
      </c>
      <c r="L6" t="s">
        <v>127</v>
      </c>
      <c r="M6" t="s">
        <v>509</v>
      </c>
      <c r="N6" t="s">
        <v>414</v>
      </c>
      <c r="R6" t="s">
        <v>207</v>
      </c>
      <c r="V6" s="197" t="s">
        <v>298</v>
      </c>
      <c r="AE6" s="3">
        <v>0.195</v>
      </c>
      <c r="AG6" s="3">
        <f t="shared" si="1"/>
        <v>0.21999999999999997</v>
      </c>
      <c r="AH6">
        <v>2</v>
      </c>
      <c r="AI6" s="3">
        <f t="shared" si="0"/>
        <v>0.3</v>
      </c>
      <c r="AJ6">
        <v>10</v>
      </c>
      <c r="AK6">
        <v>0.46</v>
      </c>
      <c r="AL6">
        <v>1</v>
      </c>
      <c r="AR6" s="3">
        <v>0.21691300156357377</v>
      </c>
      <c r="AT6" s="3">
        <f t="shared" si="2"/>
        <v>0.3</v>
      </c>
      <c r="AU6">
        <v>3</v>
      </c>
      <c r="AV6">
        <v>0.46</v>
      </c>
      <c r="AW6">
        <v>1</v>
      </c>
    </row>
    <row r="7" spans="1:49" ht="12.75">
      <c r="A7">
        <v>1</v>
      </c>
      <c r="B7">
        <v>47</v>
      </c>
      <c r="C7" s="3">
        <v>0.3</v>
      </c>
      <c r="G7" s="3">
        <f>LOG10(C7)</f>
        <v>-0.5228787452803376</v>
      </c>
      <c r="L7">
        <v>1</v>
      </c>
      <c r="M7">
        <v>47</v>
      </c>
      <c r="N7" s="3">
        <f>-LN(1-C7)</f>
        <v>0.3566749439387324</v>
      </c>
      <c r="R7" s="3">
        <f>LOG10(N7)</f>
        <v>-0.44772739834696257</v>
      </c>
      <c r="AE7" s="3">
        <v>0.2</v>
      </c>
      <c r="AG7" s="3">
        <f t="shared" si="1"/>
        <v>0.23999999999999996</v>
      </c>
      <c r="AH7">
        <v>4</v>
      </c>
      <c r="AI7" s="3">
        <f t="shared" si="0"/>
        <v>0.33999999999999997</v>
      </c>
      <c r="AJ7">
        <v>0</v>
      </c>
      <c r="AR7" s="3">
        <v>0.22314355131420968</v>
      </c>
      <c r="AT7" s="3">
        <f t="shared" si="2"/>
        <v>0.33999999999999997</v>
      </c>
      <c r="AU7">
        <v>6</v>
      </c>
      <c r="AV7">
        <v>0.54</v>
      </c>
      <c r="AW7">
        <v>1</v>
      </c>
    </row>
    <row r="8" spans="1:47" ht="12.75">
      <c r="A8">
        <f>A7+1</f>
        <v>2</v>
      </c>
      <c r="B8">
        <v>43</v>
      </c>
      <c r="C8" s="3">
        <v>0.225</v>
      </c>
      <c r="G8" s="3">
        <f aca="true" t="shared" si="3" ref="G8:G31">LOG10(C8)</f>
        <v>-0.6478174818886375</v>
      </c>
      <c r="L8">
        <f>L7+1</f>
        <v>2</v>
      </c>
      <c r="M8">
        <v>43</v>
      </c>
      <c r="N8" s="3">
        <f aca="true" t="shared" si="4" ref="N8:N31">-LN(1-C8)</f>
        <v>0.25489224962879004</v>
      </c>
      <c r="R8" s="3">
        <f aca="true" t="shared" si="5" ref="R8:R31">LOG10(N8)</f>
        <v>-0.5936433696881349</v>
      </c>
      <c r="V8" t="s">
        <v>341</v>
      </c>
      <c r="W8" t="s">
        <v>299</v>
      </c>
      <c r="X8" t="s">
        <v>34</v>
      </c>
      <c r="AE8" s="3">
        <v>0.205</v>
      </c>
      <c r="AG8" s="3">
        <f t="shared" si="1"/>
        <v>0.25999999999999995</v>
      </c>
      <c r="AH8">
        <v>2</v>
      </c>
      <c r="AI8" s="3">
        <f t="shared" si="0"/>
        <v>0.37999999999999995</v>
      </c>
      <c r="AJ8">
        <v>1</v>
      </c>
      <c r="AR8" s="3">
        <v>0.22941316432780512</v>
      </c>
      <c r="AT8" s="3">
        <f t="shared" si="2"/>
        <v>0.37999999999999995</v>
      </c>
      <c r="AU8">
        <v>4</v>
      </c>
    </row>
    <row r="9" spans="1:47" ht="12.75">
      <c r="A9">
        <f aca="true" t="shared" si="6" ref="A9:A30">A8+1</f>
        <v>3</v>
      </c>
      <c r="B9">
        <v>36</v>
      </c>
      <c r="C9" s="3">
        <v>0.26</v>
      </c>
      <c r="G9" s="3">
        <f t="shared" si="3"/>
        <v>-0.585026652029182</v>
      </c>
      <c r="L9">
        <f aca="true" t="shared" si="7" ref="L9:L30">L8+1</f>
        <v>3</v>
      </c>
      <c r="M9">
        <v>36</v>
      </c>
      <c r="N9" s="3">
        <f t="shared" si="4"/>
        <v>0.30110509278392167</v>
      </c>
      <c r="R9" s="3">
        <f t="shared" si="5"/>
        <v>-0.5212818989234742</v>
      </c>
      <c r="V9">
        <v>0.1233</v>
      </c>
      <c r="W9">
        <f>V9^2</f>
        <v>0.015202890000000002</v>
      </c>
      <c r="X9">
        <v>20</v>
      </c>
      <c r="Y9">
        <f>X9*W9</f>
        <v>0.30405780000000004</v>
      </c>
      <c r="AE9" s="3">
        <v>0.21</v>
      </c>
      <c r="AG9" s="3">
        <f t="shared" si="1"/>
        <v>0.27999999999999997</v>
      </c>
      <c r="AH9">
        <v>5</v>
      </c>
      <c r="AI9" s="3">
        <f t="shared" si="0"/>
        <v>0.41999999999999993</v>
      </c>
      <c r="AJ9">
        <v>1</v>
      </c>
      <c r="AR9" s="3">
        <v>0.23572233352106983</v>
      </c>
      <c r="AT9" s="3">
        <f t="shared" si="2"/>
        <v>0.41999999999999993</v>
      </c>
      <c r="AU9">
        <v>0</v>
      </c>
    </row>
    <row r="10" spans="1:47" ht="12.75">
      <c r="A10">
        <f t="shared" si="6"/>
        <v>4</v>
      </c>
      <c r="B10">
        <v>35</v>
      </c>
      <c r="C10" s="3">
        <v>0.265</v>
      </c>
      <c r="G10" s="3">
        <f t="shared" si="3"/>
        <v>-0.5767541260631921</v>
      </c>
      <c r="L10">
        <f t="shared" si="7"/>
        <v>4</v>
      </c>
      <c r="M10">
        <v>35</v>
      </c>
      <c r="N10" s="3">
        <f t="shared" si="4"/>
        <v>0.3078847797693004</v>
      </c>
      <c r="R10" s="3">
        <f t="shared" si="5"/>
        <v>-0.5116117798385592</v>
      </c>
      <c r="V10">
        <v>0.1301</v>
      </c>
      <c r="W10">
        <f>V10^2</f>
        <v>0.01692601</v>
      </c>
      <c r="X10">
        <v>20</v>
      </c>
      <c r="Y10">
        <f>X10*W10</f>
        <v>0.33852019999999994</v>
      </c>
      <c r="AE10" s="3">
        <v>0.225</v>
      </c>
      <c r="AG10" s="3">
        <f t="shared" si="1"/>
        <v>0.3</v>
      </c>
      <c r="AH10">
        <v>5</v>
      </c>
      <c r="AI10" s="3"/>
      <c r="AR10" s="3">
        <v>0.25489224962879004</v>
      </c>
      <c r="AT10" s="3">
        <f t="shared" si="2"/>
        <v>0.4599999999999999</v>
      </c>
      <c r="AU10">
        <v>1</v>
      </c>
    </row>
    <row r="11" spans="1:47" ht="12.75">
      <c r="A11">
        <f t="shared" si="6"/>
        <v>5</v>
      </c>
      <c r="B11">
        <v>26</v>
      </c>
      <c r="C11" s="3">
        <v>0.275</v>
      </c>
      <c r="G11" s="3">
        <f t="shared" si="3"/>
        <v>-0.5606673061697373</v>
      </c>
      <c r="L11">
        <f t="shared" si="7"/>
        <v>5</v>
      </c>
      <c r="M11">
        <v>26</v>
      </c>
      <c r="N11" s="3">
        <f t="shared" si="4"/>
        <v>0.32158362412746233</v>
      </c>
      <c r="R11" s="3">
        <f t="shared" si="5"/>
        <v>-0.4927060747623795</v>
      </c>
      <c r="V11">
        <v>0.1588</v>
      </c>
      <c r="W11">
        <f>V11^2</f>
        <v>0.02521744</v>
      </c>
      <c r="X11">
        <v>20</v>
      </c>
      <c r="Y11">
        <f>X11*W11</f>
        <v>0.5043488</v>
      </c>
      <c r="AE11" s="3">
        <v>0.23</v>
      </c>
      <c r="AG11" s="3">
        <f t="shared" si="1"/>
        <v>0.32</v>
      </c>
      <c r="AH11">
        <v>0</v>
      </c>
      <c r="AR11" s="3">
        <v>0.2613647641344075</v>
      </c>
      <c r="AT11" s="3">
        <f>0.04+AT10</f>
        <v>0.4999999999999999</v>
      </c>
      <c r="AU11">
        <v>0</v>
      </c>
    </row>
    <row r="12" spans="1:47" ht="12.75">
      <c r="A12">
        <f t="shared" si="6"/>
        <v>6</v>
      </c>
      <c r="B12">
        <v>31</v>
      </c>
      <c r="C12" s="3">
        <v>0.175</v>
      </c>
      <c r="G12" s="3">
        <f t="shared" si="3"/>
        <v>-0.7569619513137056</v>
      </c>
      <c r="L12">
        <f t="shared" si="7"/>
        <v>6</v>
      </c>
      <c r="M12">
        <v>31</v>
      </c>
      <c r="N12" s="3">
        <f t="shared" si="4"/>
        <v>0.1923718926474561</v>
      </c>
      <c r="R12" s="3">
        <f t="shared" si="5"/>
        <v>-0.715858382193407</v>
      </c>
      <c r="V12">
        <v>0.1341</v>
      </c>
      <c r="W12">
        <f>V12^2</f>
        <v>0.01798281</v>
      </c>
      <c r="X12">
        <v>20</v>
      </c>
      <c r="Y12">
        <f>X12*W12</f>
        <v>0.3596562</v>
      </c>
      <c r="AE12" s="3">
        <v>0.23</v>
      </c>
      <c r="AG12" s="3">
        <f t="shared" si="1"/>
        <v>0.34</v>
      </c>
      <c r="AH12">
        <v>0</v>
      </c>
      <c r="AR12" s="3">
        <v>0.2613647641344075</v>
      </c>
      <c r="AT12" s="3">
        <f>0.04+AT11</f>
        <v>0.5399999999999999</v>
      </c>
      <c r="AU12">
        <v>1</v>
      </c>
    </row>
    <row r="13" spans="1:46" ht="12.75">
      <c r="A13">
        <f t="shared" si="6"/>
        <v>7</v>
      </c>
      <c r="B13">
        <v>36</v>
      </c>
      <c r="C13" s="3">
        <v>0.16</v>
      </c>
      <c r="G13" s="3">
        <f t="shared" si="3"/>
        <v>-0.7958800173440752</v>
      </c>
      <c r="L13">
        <f t="shared" si="7"/>
        <v>7</v>
      </c>
      <c r="M13">
        <v>36</v>
      </c>
      <c r="N13" s="3">
        <f t="shared" si="4"/>
        <v>0.1743533871447778</v>
      </c>
      <c r="R13" s="3">
        <f t="shared" si="5"/>
        <v>-0.7585696112131687</v>
      </c>
      <c r="X13">
        <f>SUM(X9:X12)</f>
        <v>80</v>
      </c>
      <c r="Y13">
        <f>SUM(Y9:Y12)</f>
        <v>1.506583</v>
      </c>
      <c r="AE13" s="3">
        <v>0.235</v>
      </c>
      <c r="AG13" s="3">
        <f t="shared" si="1"/>
        <v>0.36000000000000004</v>
      </c>
      <c r="AH13">
        <v>0</v>
      </c>
      <c r="AR13" s="3">
        <v>0.2678794451556012</v>
      </c>
      <c r="AT13" s="3"/>
    </row>
    <row r="14" spans="1:46" ht="12.75">
      <c r="A14">
        <f t="shared" si="6"/>
        <v>8</v>
      </c>
      <c r="B14">
        <v>33</v>
      </c>
      <c r="C14" s="3">
        <v>0.23</v>
      </c>
      <c r="G14" s="3">
        <f t="shared" si="3"/>
        <v>-0.6382721639824072</v>
      </c>
      <c r="L14">
        <f t="shared" si="7"/>
        <v>8</v>
      </c>
      <c r="M14">
        <v>33</v>
      </c>
      <c r="N14" s="3">
        <f t="shared" si="4"/>
        <v>0.2613647641344075</v>
      </c>
      <c r="R14" s="3">
        <f t="shared" si="5"/>
        <v>-0.5827529621780622</v>
      </c>
      <c r="AE14" s="3">
        <v>0.245</v>
      </c>
      <c r="AG14" s="3">
        <f t="shared" si="1"/>
        <v>0.38000000000000006</v>
      </c>
      <c r="AH14">
        <v>1</v>
      </c>
      <c r="AR14" s="3">
        <v>0.28103752973311236</v>
      </c>
      <c r="AT14" s="3"/>
    </row>
    <row r="15" spans="1:46" ht="12.75">
      <c r="A15">
        <f t="shared" si="6"/>
        <v>9</v>
      </c>
      <c r="B15">
        <v>26</v>
      </c>
      <c r="C15" s="3">
        <v>0.3</v>
      </c>
      <c r="G15" s="3">
        <f t="shared" si="3"/>
        <v>-0.5228787452803376</v>
      </c>
      <c r="L15">
        <f t="shared" si="7"/>
        <v>9</v>
      </c>
      <c r="M15">
        <v>26</v>
      </c>
      <c r="N15" s="3">
        <f t="shared" si="4"/>
        <v>0.3566749439387324</v>
      </c>
      <c r="R15" s="3">
        <f t="shared" si="5"/>
        <v>-0.44772739834696257</v>
      </c>
      <c r="Y15">
        <f>SQRT(Y13/80)</f>
        <v>0.13723078189677418</v>
      </c>
      <c r="AE15" s="3">
        <v>0.26</v>
      </c>
      <c r="AG15" s="3">
        <f t="shared" si="1"/>
        <v>0.4000000000000001</v>
      </c>
      <c r="AH15">
        <v>0</v>
      </c>
      <c r="AR15" s="3">
        <v>0.30110509278392167</v>
      </c>
      <c r="AT15" s="3"/>
    </row>
    <row r="16" spans="1:46" ht="12.75">
      <c r="A16">
        <f t="shared" si="6"/>
        <v>10</v>
      </c>
      <c r="B16">
        <v>28</v>
      </c>
      <c r="C16" s="3">
        <v>0.235</v>
      </c>
      <c r="G16" s="3">
        <f t="shared" si="3"/>
        <v>-0.6289321377282637</v>
      </c>
      <c r="L16">
        <f t="shared" si="7"/>
        <v>10</v>
      </c>
      <c r="M16">
        <v>28</v>
      </c>
      <c r="N16" s="3">
        <f t="shared" si="4"/>
        <v>0.2678794451556012</v>
      </c>
      <c r="R16" s="3">
        <f t="shared" si="5"/>
        <v>-0.5720606092659098</v>
      </c>
      <c r="AE16" s="3">
        <v>0.265</v>
      </c>
      <c r="AG16" s="3">
        <f t="shared" si="1"/>
        <v>0.4200000000000001</v>
      </c>
      <c r="AH16">
        <v>1</v>
      </c>
      <c r="AR16" s="3">
        <v>0.3078847797693004</v>
      </c>
      <c r="AT16" s="3"/>
    </row>
    <row r="17" spans="1:46" ht="12.75">
      <c r="A17">
        <f t="shared" si="6"/>
        <v>11</v>
      </c>
      <c r="B17">
        <v>27</v>
      </c>
      <c r="C17" s="3">
        <v>0.23</v>
      </c>
      <c r="G17" s="3">
        <f t="shared" si="3"/>
        <v>-0.6382721639824072</v>
      </c>
      <c r="L17">
        <f t="shared" si="7"/>
        <v>11</v>
      </c>
      <c r="M17">
        <v>27</v>
      </c>
      <c r="N17" s="3">
        <f t="shared" si="4"/>
        <v>0.2613647641344075</v>
      </c>
      <c r="R17" s="3">
        <f t="shared" si="5"/>
        <v>-0.5827529621780622</v>
      </c>
      <c r="AE17" s="3">
        <v>0.265</v>
      </c>
      <c r="AR17" s="3">
        <v>0.3078847797693004</v>
      </c>
      <c r="AT17" s="3"/>
    </row>
    <row r="18" spans="1:46" ht="12.75">
      <c r="A18">
        <f t="shared" si="6"/>
        <v>12</v>
      </c>
      <c r="B18">
        <v>25</v>
      </c>
      <c r="C18" s="3">
        <v>0.195</v>
      </c>
      <c r="G18" s="3">
        <f t="shared" si="3"/>
        <v>-0.7099653886374819</v>
      </c>
      <c r="L18">
        <f t="shared" si="7"/>
        <v>12</v>
      </c>
      <c r="M18">
        <v>25</v>
      </c>
      <c r="N18" s="3">
        <f t="shared" si="4"/>
        <v>0.21691300156357377</v>
      </c>
      <c r="R18" s="3">
        <f t="shared" si="5"/>
        <v>-0.6637144159983027</v>
      </c>
      <c r="AE18" s="3">
        <v>0.265</v>
      </c>
      <c r="AR18" s="3">
        <v>0.3078847797693004</v>
      </c>
      <c r="AT18" s="3"/>
    </row>
    <row r="19" spans="1:46" ht="12.75">
      <c r="A19">
        <f t="shared" si="6"/>
        <v>13</v>
      </c>
      <c r="B19">
        <v>32</v>
      </c>
      <c r="C19" s="3">
        <v>0.275</v>
      </c>
      <c r="G19" s="3">
        <f t="shared" si="3"/>
        <v>-0.5606673061697373</v>
      </c>
      <c r="L19">
        <f t="shared" si="7"/>
        <v>13</v>
      </c>
      <c r="M19">
        <v>32</v>
      </c>
      <c r="N19" s="3">
        <f t="shared" si="4"/>
        <v>0.32158362412746233</v>
      </c>
      <c r="R19" s="3">
        <f t="shared" si="5"/>
        <v>-0.4927060747623795</v>
      </c>
      <c r="AE19" s="3">
        <v>0.275</v>
      </c>
      <c r="AR19" s="3">
        <v>0.32158362412746233</v>
      </c>
      <c r="AT19" s="3"/>
    </row>
    <row r="20" spans="1:46" ht="12.75">
      <c r="A20">
        <f t="shared" si="6"/>
        <v>14</v>
      </c>
      <c r="B20">
        <v>42</v>
      </c>
      <c r="C20" s="3">
        <v>0.295</v>
      </c>
      <c r="G20" s="3">
        <f t="shared" si="3"/>
        <v>-0.530177984021837</v>
      </c>
      <c r="L20">
        <f t="shared" si="7"/>
        <v>14</v>
      </c>
      <c r="M20">
        <v>42</v>
      </c>
      <c r="N20" s="3">
        <f t="shared" si="4"/>
        <v>0.34955747616986826</v>
      </c>
      <c r="R20" s="3">
        <f t="shared" si="5"/>
        <v>-0.4564814049507989</v>
      </c>
      <c r="AE20" s="3">
        <v>0.275</v>
      </c>
      <c r="AR20" s="3">
        <v>0.32158362412746233</v>
      </c>
      <c r="AT20" s="3"/>
    </row>
    <row r="21" spans="1:46" ht="12.75">
      <c r="A21">
        <f t="shared" si="6"/>
        <v>15</v>
      </c>
      <c r="B21">
        <v>40</v>
      </c>
      <c r="C21" s="3">
        <v>0.29</v>
      </c>
      <c r="G21" s="3">
        <f t="shared" si="3"/>
        <v>-0.5376020021010439</v>
      </c>
      <c r="L21">
        <f t="shared" si="7"/>
        <v>15</v>
      </c>
      <c r="M21">
        <v>40</v>
      </c>
      <c r="N21" s="3">
        <f t="shared" si="4"/>
        <v>0.342490308946776</v>
      </c>
      <c r="R21" s="3">
        <f t="shared" si="5"/>
        <v>-0.46535171272771275</v>
      </c>
      <c r="AE21" s="3">
        <v>0.29</v>
      </c>
      <c r="AR21" s="3">
        <v>0.342490308946776</v>
      </c>
      <c r="AT21" s="3"/>
    </row>
    <row r="22" spans="1:44" ht="12.75">
      <c r="A22">
        <f t="shared" si="6"/>
        <v>16</v>
      </c>
      <c r="B22">
        <v>40</v>
      </c>
      <c r="C22" s="3">
        <v>0.205</v>
      </c>
      <c r="E22" t="s">
        <v>519</v>
      </c>
      <c r="G22" s="3">
        <f t="shared" si="3"/>
        <v>-0.6882461389442458</v>
      </c>
      <c r="L22">
        <f t="shared" si="7"/>
        <v>16</v>
      </c>
      <c r="M22">
        <v>40</v>
      </c>
      <c r="N22" s="3">
        <f t="shared" si="4"/>
        <v>0.22941316432780512</v>
      </c>
      <c r="P22" t="s">
        <v>519</v>
      </c>
      <c r="R22" s="3">
        <f t="shared" si="5"/>
        <v>-0.6393816647656718</v>
      </c>
      <c r="AE22" s="3">
        <v>0.295</v>
      </c>
      <c r="AR22" s="3">
        <v>0.34955747616986826</v>
      </c>
    </row>
    <row r="23" spans="1:44" ht="12.75">
      <c r="A23">
        <f t="shared" si="6"/>
        <v>17</v>
      </c>
      <c r="B23">
        <v>28</v>
      </c>
      <c r="C23" s="3">
        <v>0.415</v>
      </c>
      <c r="E23">
        <f>COUNT(C7:C31)</f>
        <v>25</v>
      </c>
      <c r="G23" s="3">
        <f t="shared" si="3"/>
        <v>-0.3819519032879073</v>
      </c>
      <c r="L23">
        <f t="shared" si="7"/>
        <v>17</v>
      </c>
      <c r="M23">
        <v>28</v>
      </c>
      <c r="N23" s="3">
        <f t="shared" si="4"/>
        <v>0.5361434317502807</v>
      </c>
      <c r="P23">
        <f>COUNT(N7:N31)</f>
        <v>25</v>
      </c>
      <c r="R23" s="3">
        <f t="shared" si="5"/>
        <v>-0.2707190101492967</v>
      </c>
      <c r="AE23" s="3">
        <v>0.295</v>
      </c>
      <c r="AR23" s="3">
        <v>0.34955747616986826</v>
      </c>
    </row>
    <row r="24" spans="1:44" ht="12.75">
      <c r="A24">
        <f t="shared" si="6"/>
        <v>18</v>
      </c>
      <c r="B24">
        <v>36</v>
      </c>
      <c r="C24" s="3">
        <v>0.265</v>
      </c>
      <c r="E24" t="s">
        <v>598</v>
      </c>
      <c r="G24" s="3">
        <f t="shared" si="3"/>
        <v>-0.5767541260631921</v>
      </c>
      <c r="L24">
        <f t="shared" si="7"/>
        <v>18</v>
      </c>
      <c r="M24">
        <v>36</v>
      </c>
      <c r="N24" s="3">
        <f t="shared" si="4"/>
        <v>0.3078847797693004</v>
      </c>
      <c r="P24" t="s">
        <v>598</v>
      </c>
      <c r="R24" s="3">
        <f t="shared" si="5"/>
        <v>-0.5116117798385592</v>
      </c>
      <c r="AE24" s="3">
        <v>0.3</v>
      </c>
      <c r="AR24" s="3">
        <v>0.3566749439387324</v>
      </c>
    </row>
    <row r="25" spans="1:44" ht="12.75">
      <c r="A25">
        <f t="shared" si="6"/>
        <v>19</v>
      </c>
      <c r="B25">
        <v>28</v>
      </c>
      <c r="C25" s="3">
        <v>0.265</v>
      </c>
      <c r="E25" s="3">
        <f>AVERAGE(C7:C31)</f>
        <v>0.2546</v>
      </c>
      <c r="G25" s="3">
        <f t="shared" si="3"/>
        <v>-0.5767541260631921</v>
      </c>
      <c r="L25">
        <f t="shared" si="7"/>
        <v>19</v>
      </c>
      <c r="M25">
        <v>28</v>
      </c>
      <c r="N25" s="3">
        <f t="shared" si="4"/>
        <v>0.3078847797693004</v>
      </c>
      <c r="P25" s="3">
        <f>AVERAGE(N7:N31)</f>
        <v>0.2968933062388525</v>
      </c>
      <c r="R25" s="3">
        <f t="shared" si="5"/>
        <v>-0.5116117798385592</v>
      </c>
      <c r="AE25" s="3">
        <v>0.3</v>
      </c>
      <c r="AR25" s="3">
        <v>0.3566749439387324</v>
      </c>
    </row>
    <row r="26" spans="1:44" ht="12.75">
      <c r="A26">
        <f t="shared" si="6"/>
        <v>20</v>
      </c>
      <c r="B26">
        <v>28</v>
      </c>
      <c r="C26" s="3">
        <v>0.21</v>
      </c>
      <c r="E26" t="s">
        <v>431</v>
      </c>
      <c r="G26" s="3">
        <f t="shared" si="3"/>
        <v>-0.6777807052660807</v>
      </c>
      <c r="L26">
        <f t="shared" si="7"/>
        <v>20</v>
      </c>
      <c r="M26">
        <v>28</v>
      </c>
      <c r="N26" s="3">
        <f t="shared" si="4"/>
        <v>0.23572233352106983</v>
      </c>
      <c r="P26" t="s">
        <v>431</v>
      </c>
      <c r="R26" s="3">
        <f t="shared" si="5"/>
        <v>-0.6275992682798079</v>
      </c>
      <c r="AE26" s="3">
        <v>0.365</v>
      </c>
      <c r="AR26" s="3">
        <v>0.45413028008944534</v>
      </c>
    </row>
    <row r="27" spans="1:44" ht="12.75">
      <c r="A27">
        <f t="shared" si="6"/>
        <v>21</v>
      </c>
      <c r="B27">
        <v>35</v>
      </c>
      <c r="C27" s="3">
        <v>0.2</v>
      </c>
      <c r="E27" s="3">
        <f>STDEV(C7:C31)</f>
        <v>0.058003591842804667</v>
      </c>
      <c r="G27" s="3">
        <f t="shared" si="3"/>
        <v>-0.6989700043360187</v>
      </c>
      <c r="L27">
        <f t="shared" si="7"/>
        <v>21</v>
      </c>
      <c r="M27">
        <v>35</v>
      </c>
      <c r="N27" s="3">
        <f t="shared" si="4"/>
        <v>0.22314355131420968</v>
      </c>
      <c r="P27" s="3">
        <f>STDEV(N7:N31)</f>
        <v>0.08093642003118948</v>
      </c>
      <c r="R27" s="3">
        <f t="shared" si="5"/>
        <v>-0.6514156594356943</v>
      </c>
      <c r="AE27" s="3">
        <v>0.415</v>
      </c>
      <c r="AR27" s="3">
        <v>0.5361434317502807</v>
      </c>
    </row>
    <row r="28" spans="1:18" ht="12.75">
      <c r="A28">
        <f t="shared" si="6"/>
        <v>22</v>
      </c>
      <c r="B28">
        <v>33</v>
      </c>
      <c r="C28" s="3">
        <v>0.19</v>
      </c>
      <c r="E28" t="s">
        <v>126</v>
      </c>
      <c r="F28" s="89" t="s">
        <v>323</v>
      </c>
      <c r="G28" s="3">
        <f t="shared" si="3"/>
        <v>-0.721246399047171</v>
      </c>
      <c r="L28">
        <f t="shared" si="7"/>
        <v>22</v>
      </c>
      <c r="M28">
        <v>33</v>
      </c>
      <c r="N28" s="3">
        <f t="shared" si="4"/>
        <v>0.21072103131565253</v>
      </c>
      <c r="P28" t="s">
        <v>126</v>
      </c>
      <c r="Q28" s="89" t="s">
        <v>323</v>
      </c>
      <c r="R28" s="3">
        <f t="shared" si="5"/>
        <v>-0.6762921168431828</v>
      </c>
    </row>
    <row r="29" spans="1:18" ht="12.75">
      <c r="A29">
        <f t="shared" si="6"/>
        <v>23</v>
      </c>
      <c r="B29">
        <v>26</v>
      </c>
      <c r="C29" s="3">
        <v>0.295</v>
      </c>
      <c r="E29" s="3">
        <f>EXP(SQRT(LN(POWER(E27,2)/POWER(E25,2)+1)))</f>
        <v>1.2522558176159315</v>
      </c>
      <c r="F29" s="90">
        <f>F31/E31</f>
        <v>0.9876948708854784</v>
      </c>
      <c r="G29" s="3">
        <f t="shared" si="3"/>
        <v>-0.530177984021837</v>
      </c>
      <c r="L29">
        <f t="shared" si="7"/>
        <v>23</v>
      </c>
      <c r="M29">
        <v>26</v>
      </c>
      <c r="N29" s="3">
        <f t="shared" si="4"/>
        <v>0.34955747616986826</v>
      </c>
      <c r="P29" s="3">
        <f>EXP(SQRT(LN(POWER(P27,2)/POWER(P25,2)+1)))</f>
        <v>1.307007869178634</v>
      </c>
      <c r="Q29" s="90">
        <f>Q31/P31</f>
        <v>0.9700335555859972</v>
      </c>
      <c r="R29" s="3">
        <f t="shared" si="5"/>
        <v>-0.4564814049507989</v>
      </c>
    </row>
    <row r="30" spans="1:18" ht="12.75">
      <c r="A30">
        <f t="shared" si="6"/>
        <v>24</v>
      </c>
      <c r="B30">
        <v>35</v>
      </c>
      <c r="C30" s="3">
        <v>0.365</v>
      </c>
      <c r="E30" t="s">
        <v>384</v>
      </c>
      <c r="F30" t="s">
        <v>384</v>
      </c>
      <c r="G30" s="3">
        <f t="shared" si="3"/>
        <v>-0.4377071355435253</v>
      </c>
      <c r="L30">
        <f t="shared" si="7"/>
        <v>24</v>
      </c>
      <c r="M30">
        <v>35</v>
      </c>
      <c r="N30" s="3">
        <f t="shared" si="4"/>
        <v>0.45413028008944534</v>
      </c>
      <c r="P30" t="s">
        <v>384</v>
      </c>
      <c r="Q30" t="s">
        <v>384</v>
      </c>
      <c r="R30" s="3">
        <f t="shared" si="5"/>
        <v>-0.3428195396376149</v>
      </c>
    </row>
    <row r="31" spans="1:18" ht="12.75">
      <c r="A31">
        <v>25</v>
      </c>
      <c r="B31">
        <v>24</v>
      </c>
      <c r="C31" s="3">
        <v>0.245</v>
      </c>
      <c r="E31" s="40">
        <f>LOG10(E29)</f>
        <v>0.09769305797195565</v>
      </c>
      <c r="F31" s="94">
        <f>STDEV(G7:G31)</f>
        <v>0.09649093228001829</v>
      </c>
      <c r="G31" s="3">
        <f t="shared" si="3"/>
        <v>-0.6108339156354675</v>
      </c>
      <c r="L31">
        <v>25</v>
      </c>
      <c r="M31">
        <v>24</v>
      </c>
      <c r="N31" s="3">
        <f t="shared" si="4"/>
        <v>0.28103752973311236</v>
      </c>
      <c r="P31" s="40">
        <f>LOG10(P29)</f>
        <v>0.11627820237057471</v>
      </c>
      <c r="Q31" s="178">
        <f>STDEV(R7:R31)</f>
        <v>0.11279375808267672</v>
      </c>
      <c r="R31" s="3">
        <f t="shared" si="5"/>
        <v>-0.5512356805658497</v>
      </c>
    </row>
    <row r="33" spans="1:12" ht="12.75">
      <c r="A33" s="58" t="s">
        <v>103</v>
      </c>
      <c r="L33" s="58" t="s">
        <v>103</v>
      </c>
    </row>
    <row r="34" spans="1:12" ht="12.75">
      <c r="A34" s="59" t="s">
        <v>464</v>
      </c>
      <c r="L34" s="59" t="s">
        <v>464</v>
      </c>
    </row>
    <row r="35" spans="1:18" ht="12.75">
      <c r="A35" t="s">
        <v>127</v>
      </c>
      <c r="B35" t="s">
        <v>509</v>
      </c>
      <c r="C35" t="s">
        <v>414</v>
      </c>
      <c r="G35" t="s">
        <v>207</v>
      </c>
      <c r="L35" t="s">
        <v>127</v>
      </c>
      <c r="M35" t="s">
        <v>509</v>
      </c>
      <c r="N35" t="s">
        <v>414</v>
      </c>
      <c r="R35" t="s">
        <v>207</v>
      </c>
    </row>
    <row r="36" spans="1:18" ht="12.75">
      <c r="A36">
        <v>1</v>
      </c>
      <c r="B36">
        <v>47</v>
      </c>
      <c r="C36" s="3">
        <v>0.2</v>
      </c>
      <c r="G36" s="3">
        <f>LOG10(C36)</f>
        <v>-0.6989700043360187</v>
      </c>
      <c r="L36">
        <v>1</v>
      </c>
      <c r="M36">
        <v>47</v>
      </c>
      <c r="N36" s="3">
        <f aca="true" t="shared" si="8" ref="N36:N60">-LN(1-C36)</f>
        <v>0.22314355131420968</v>
      </c>
      <c r="R36" s="3">
        <f>LOG10(N36)</f>
        <v>-0.6514156594356943</v>
      </c>
    </row>
    <row r="37" spans="1:18" ht="12.75">
      <c r="A37">
        <f>A36+1</f>
        <v>2</v>
      </c>
      <c r="B37">
        <v>43</v>
      </c>
      <c r="C37" s="3">
        <v>0.185</v>
      </c>
      <c r="G37" s="3">
        <f aca="true" t="shared" si="9" ref="G37:G60">LOG10(C37)</f>
        <v>-0.7328282715969863</v>
      </c>
      <c r="L37">
        <f>L36+1</f>
        <v>2</v>
      </c>
      <c r="M37">
        <v>43</v>
      </c>
      <c r="N37" s="3">
        <f t="shared" si="8"/>
        <v>0.2045671657412744</v>
      </c>
      <c r="R37" s="3">
        <f aca="true" t="shared" si="10" ref="R37:R60">LOG10(N37)</f>
        <v>-0.6891640719029761</v>
      </c>
    </row>
    <row r="38" spans="1:18" ht="12.75">
      <c r="A38">
        <f aca="true" t="shared" si="11" ref="A38:A59">A37+1</f>
        <v>3</v>
      </c>
      <c r="B38">
        <v>36</v>
      </c>
      <c r="C38" s="3">
        <v>0.23</v>
      </c>
      <c r="G38" s="3">
        <f t="shared" si="9"/>
        <v>-0.6382721639824072</v>
      </c>
      <c r="L38">
        <f aca="true" t="shared" si="12" ref="L38:L59">L37+1</f>
        <v>3</v>
      </c>
      <c r="M38">
        <v>36</v>
      </c>
      <c r="N38" s="3">
        <f t="shared" si="8"/>
        <v>0.2613647641344075</v>
      </c>
      <c r="R38" s="3">
        <f t="shared" si="10"/>
        <v>-0.5827529621780622</v>
      </c>
    </row>
    <row r="39" spans="1:18" ht="12.75">
      <c r="A39">
        <f t="shared" si="11"/>
        <v>4</v>
      </c>
      <c r="B39">
        <v>35</v>
      </c>
      <c r="C39" s="3">
        <v>0.245</v>
      </c>
      <c r="G39" s="3">
        <f t="shared" si="9"/>
        <v>-0.6108339156354675</v>
      </c>
      <c r="L39">
        <f t="shared" si="12"/>
        <v>4</v>
      </c>
      <c r="M39">
        <v>35</v>
      </c>
      <c r="N39" s="3">
        <f t="shared" si="8"/>
        <v>0.28103752973311236</v>
      </c>
      <c r="R39" s="3">
        <f t="shared" si="10"/>
        <v>-0.5512356805658497</v>
      </c>
    </row>
    <row r="40" spans="1:18" ht="12.75">
      <c r="A40">
        <f t="shared" si="11"/>
        <v>5</v>
      </c>
      <c r="B40">
        <v>26</v>
      </c>
      <c r="C40" s="3">
        <v>0.215</v>
      </c>
      <c r="G40" s="3">
        <f t="shared" si="9"/>
        <v>-0.6675615400843947</v>
      </c>
      <c r="L40">
        <f t="shared" si="12"/>
        <v>5</v>
      </c>
      <c r="M40">
        <v>26</v>
      </c>
      <c r="N40" s="3">
        <f t="shared" si="8"/>
        <v>0.24207156119972859</v>
      </c>
      <c r="R40" s="3">
        <f t="shared" si="10"/>
        <v>-0.6160562288957069</v>
      </c>
    </row>
    <row r="41" spans="1:18" ht="12.75">
      <c r="A41">
        <f t="shared" si="11"/>
        <v>6</v>
      </c>
      <c r="B41">
        <v>31</v>
      </c>
      <c r="C41" s="3">
        <v>0.195</v>
      </c>
      <c r="G41" s="3">
        <f t="shared" si="9"/>
        <v>-0.7099653886374819</v>
      </c>
      <c r="L41">
        <f t="shared" si="12"/>
        <v>6</v>
      </c>
      <c r="M41">
        <v>31</v>
      </c>
      <c r="N41" s="3">
        <f t="shared" si="8"/>
        <v>0.21691300156357377</v>
      </c>
      <c r="R41" s="3">
        <f t="shared" si="10"/>
        <v>-0.6637144159983027</v>
      </c>
    </row>
    <row r="42" spans="1:18" ht="12.75">
      <c r="A42">
        <f t="shared" si="11"/>
        <v>7</v>
      </c>
      <c r="B42">
        <v>36</v>
      </c>
      <c r="C42" s="3">
        <v>0.23</v>
      </c>
      <c r="G42" s="3">
        <f t="shared" si="9"/>
        <v>-0.6382721639824072</v>
      </c>
      <c r="L42">
        <f t="shared" si="12"/>
        <v>7</v>
      </c>
      <c r="M42">
        <v>36</v>
      </c>
      <c r="N42" s="3">
        <f t="shared" si="8"/>
        <v>0.2613647641344075</v>
      </c>
      <c r="R42" s="3">
        <f t="shared" si="10"/>
        <v>-0.5827529621780622</v>
      </c>
    </row>
    <row r="43" spans="1:18" ht="12.75">
      <c r="A43">
        <f t="shared" si="11"/>
        <v>8</v>
      </c>
      <c r="B43">
        <v>33</v>
      </c>
      <c r="C43" s="3">
        <v>0.25</v>
      </c>
      <c r="G43" s="3">
        <f t="shared" si="9"/>
        <v>-0.6020599913279624</v>
      </c>
      <c r="L43">
        <f t="shared" si="12"/>
        <v>8</v>
      </c>
      <c r="M43">
        <v>33</v>
      </c>
      <c r="N43" s="3">
        <f t="shared" si="8"/>
        <v>0.2876820724517809</v>
      </c>
      <c r="R43" s="3">
        <f t="shared" si="10"/>
        <v>-0.5410872012930469</v>
      </c>
    </row>
    <row r="44" spans="1:18" ht="12.75">
      <c r="A44">
        <f t="shared" si="11"/>
        <v>9</v>
      </c>
      <c r="B44">
        <v>26</v>
      </c>
      <c r="C44" s="3">
        <v>0.255</v>
      </c>
      <c r="G44" s="3">
        <f t="shared" si="9"/>
        <v>-0.5934598195660448</v>
      </c>
      <c r="L44">
        <f t="shared" si="12"/>
        <v>9</v>
      </c>
      <c r="M44">
        <v>26</v>
      </c>
      <c r="N44" s="3">
        <f t="shared" si="8"/>
        <v>0.2943710606025775</v>
      </c>
      <c r="R44" s="3">
        <f t="shared" si="10"/>
        <v>-0.531104887399675</v>
      </c>
    </row>
    <row r="45" spans="1:18" ht="12.75">
      <c r="A45">
        <f t="shared" si="11"/>
        <v>10</v>
      </c>
      <c r="B45">
        <v>28</v>
      </c>
      <c r="C45" s="3">
        <v>0.23</v>
      </c>
      <c r="G45" s="3">
        <f t="shared" si="9"/>
        <v>-0.6382721639824072</v>
      </c>
      <c r="L45">
        <f t="shared" si="12"/>
        <v>10</v>
      </c>
      <c r="M45">
        <v>28</v>
      </c>
      <c r="N45" s="3">
        <f t="shared" si="8"/>
        <v>0.2613647641344075</v>
      </c>
      <c r="R45" s="3">
        <f t="shared" si="10"/>
        <v>-0.5827529621780622</v>
      </c>
    </row>
    <row r="46" spans="1:18" ht="12.75">
      <c r="A46">
        <f t="shared" si="11"/>
        <v>11</v>
      </c>
      <c r="B46">
        <v>27</v>
      </c>
      <c r="C46" s="3">
        <v>0.165</v>
      </c>
      <c r="G46" s="3">
        <f t="shared" si="9"/>
        <v>-0.7825160557860937</v>
      </c>
      <c r="L46">
        <f t="shared" si="12"/>
        <v>11</v>
      </c>
      <c r="M46">
        <v>27</v>
      </c>
      <c r="N46" s="3">
        <f t="shared" si="8"/>
        <v>0.18032355413128162</v>
      </c>
      <c r="R46" s="3">
        <f t="shared" si="10"/>
        <v>-0.7439475413800889</v>
      </c>
    </row>
    <row r="47" spans="1:18" ht="12.75">
      <c r="A47">
        <f t="shared" si="11"/>
        <v>12</v>
      </c>
      <c r="B47">
        <v>25</v>
      </c>
      <c r="C47" s="3">
        <v>0.22</v>
      </c>
      <c r="G47" s="3">
        <f t="shared" si="9"/>
        <v>-0.6575773191777937</v>
      </c>
      <c r="L47">
        <f t="shared" si="12"/>
        <v>12</v>
      </c>
      <c r="M47">
        <v>25</v>
      </c>
      <c r="N47" s="3">
        <f t="shared" si="8"/>
        <v>0.24846135929849958</v>
      </c>
      <c r="R47" s="3">
        <f t="shared" si="10"/>
        <v>-0.6047411431410941</v>
      </c>
    </row>
    <row r="48" spans="1:18" ht="12.75">
      <c r="A48">
        <f t="shared" si="11"/>
        <v>13</v>
      </c>
      <c r="B48">
        <v>32</v>
      </c>
      <c r="C48" s="3">
        <v>0.22</v>
      </c>
      <c r="G48" s="3">
        <f t="shared" si="9"/>
        <v>-0.6575773191777937</v>
      </c>
      <c r="L48">
        <f t="shared" si="12"/>
        <v>13</v>
      </c>
      <c r="M48">
        <v>32</v>
      </c>
      <c r="N48" s="3">
        <f t="shared" si="8"/>
        <v>0.24846135929849958</v>
      </c>
      <c r="R48" s="3">
        <f t="shared" si="10"/>
        <v>-0.6047411431410941</v>
      </c>
    </row>
    <row r="49" spans="1:18" ht="12.75">
      <c r="A49">
        <f t="shared" si="11"/>
        <v>14</v>
      </c>
      <c r="B49">
        <v>42</v>
      </c>
      <c r="C49" s="3">
        <v>0.25</v>
      </c>
      <c r="G49" s="3">
        <f t="shared" si="9"/>
        <v>-0.6020599913279624</v>
      </c>
      <c r="L49">
        <f t="shared" si="12"/>
        <v>14</v>
      </c>
      <c r="M49">
        <v>42</v>
      </c>
      <c r="N49" s="3">
        <f t="shared" si="8"/>
        <v>0.2876820724517809</v>
      </c>
      <c r="R49" s="3">
        <f t="shared" si="10"/>
        <v>-0.5410872012930469</v>
      </c>
    </row>
    <row r="50" spans="1:18" ht="12.75">
      <c r="A50">
        <f t="shared" si="11"/>
        <v>15</v>
      </c>
      <c r="B50">
        <v>40</v>
      </c>
      <c r="C50" s="3">
        <v>0.3</v>
      </c>
      <c r="G50" s="3">
        <f t="shared" si="9"/>
        <v>-0.5228787452803376</v>
      </c>
      <c r="L50">
        <f t="shared" si="12"/>
        <v>15</v>
      </c>
      <c r="M50">
        <v>40</v>
      </c>
      <c r="N50" s="3">
        <f t="shared" si="8"/>
        <v>0.3566749439387324</v>
      </c>
      <c r="R50" s="3">
        <f t="shared" si="10"/>
        <v>-0.44772739834696257</v>
      </c>
    </row>
    <row r="51" spans="1:18" ht="12.75">
      <c r="A51">
        <f t="shared" si="11"/>
        <v>16</v>
      </c>
      <c r="B51">
        <v>40</v>
      </c>
      <c r="C51" s="3">
        <v>0.17</v>
      </c>
      <c r="E51" t="s">
        <v>519</v>
      </c>
      <c r="G51" s="3">
        <f t="shared" si="9"/>
        <v>-0.769551078621726</v>
      </c>
      <c r="L51">
        <f t="shared" si="12"/>
        <v>16</v>
      </c>
      <c r="M51">
        <v>40</v>
      </c>
      <c r="N51" s="3">
        <f t="shared" si="8"/>
        <v>0.18632957819149348</v>
      </c>
      <c r="P51" t="s">
        <v>519</v>
      </c>
      <c r="R51" s="3">
        <f t="shared" si="10"/>
        <v>-0.7297181991792839</v>
      </c>
    </row>
    <row r="52" spans="1:18" ht="12.75">
      <c r="A52">
        <f t="shared" si="11"/>
        <v>17</v>
      </c>
      <c r="B52">
        <v>28</v>
      </c>
      <c r="C52" s="3">
        <v>0.32</v>
      </c>
      <c r="E52">
        <f>COUNT(C36:C60)</f>
        <v>25</v>
      </c>
      <c r="G52" s="3">
        <f t="shared" si="9"/>
        <v>-0.494850021680094</v>
      </c>
      <c r="L52">
        <f t="shared" si="12"/>
        <v>17</v>
      </c>
      <c r="M52">
        <v>28</v>
      </c>
      <c r="N52" s="3">
        <f t="shared" si="8"/>
        <v>0.3856624808119848</v>
      </c>
      <c r="P52">
        <f>COUNT(N36:N60)</f>
        <v>25</v>
      </c>
      <c r="R52" s="3">
        <f t="shared" si="10"/>
        <v>-0.41379260943288027</v>
      </c>
    </row>
    <row r="53" spans="1:18" ht="12.75">
      <c r="A53">
        <f t="shared" si="11"/>
        <v>18</v>
      </c>
      <c r="B53">
        <v>36</v>
      </c>
      <c r="C53" s="3">
        <v>0.36</v>
      </c>
      <c r="E53" t="s">
        <v>598</v>
      </c>
      <c r="G53" s="3">
        <f t="shared" si="9"/>
        <v>-0.44369749923271273</v>
      </c>
      <c r="L53">
        <f t="shared" si="12"/>
        <v>18</v>
      </c>
      <c r="M53">
        <v>36</v>
      </c>
      <c r="N53" s="3">
        <f t="shared" si="8"/>
        <v>0.44628710262841953</v>
      </c>
      <c r="P53" t="s">
        <v>598</v>
      </c>
      <c r="R53" s="3">
        <f t="shared" si="10"/>
        <v>-0.350385663771713</v>
      </c>
    </row>
    <row r="54" spans="1:18" ht="12.75">
      <c r="A54">
        <f t="shared" si="11"/>
        <v>19</v>
      </c>
      <c r="B54">
        <v>28</v>
      </c>
      <c r="C54" s="3">
        <v>0.245</v>
      </c>
      <c r="E54" s="3">
        <f>AVERAGE(C36:C60)</f>
        <v>0.2298</v>
      </c>
      <c r="G54" s="3">
        <f t="shared" si="9"/>
        <v>-0.6108339156354675</v>
      </c>
      <c r="L54">
        <f t="shared" si="12"/>
        <v>19</v>
      </c>
      <c r="M54">
        <v>28</v>
      </c>
      <c r="N54" s="3">
        <f t="shared" si="8"/>
        <v>0.28103752973311236</v>
      </c>
      <c r="P54" s="3">
        <f>AVERAGE(N36:N60)</f>
        <v>0.2635478306684867</v>
      </c>
      <c r="R54" s="3">
        <f t="shared" si="10"/>
        <v>-0.5512356805658497</v>
      </c>
    </row>
    <row r="55" spans="1:18" ht="12.75">
      <c r="A55">
        <f t="shared" si="11"/>
        <v>20</v>
      </c>
      <c r="B55">
        <v>28</v>
      </c>
      <c r="C55" s="3">
        <v>0.155</v>
      </c>
      <c r="E55" t="s">
        <v>431</v>
      </c>
      <c r="G55" s="3">
        <f t="shared" si="9"/>
        <v>-0.8096683018297085</v>
      </c>
      <c r="L55">
        <f t="shared" si="12"/>
        <v>20</v>
      </c>
      <c r="M55">
        <v>28</v>
      </c>
      <c r="N55" s="3">
        <f t="shared" si="8"/>
        <v>0.16841865162496322</v>
      </c>
      <c r="P55" t="s">
        <v>431</v>
      </c>
      <c r="R55" s="3">
        <f t="shared" si="10"/>
        <v>-0.7736098139691049</v>
      </c>
    </row>
    <row r="56" spans="1:18" ht="12.75">
      <c r="A56">
        <f t="shared" si="11"/>
        <v>21</v>
      </c>
      <c r="B56">
        <v>35</v>
      </c>
      <c r="C56" s="3">
        <v>0.115</v>
      </c>
      <c r="E56" s="3">
        <f>STDEV(C36:C60)</f>
        <v>0.05430392864854873</v>
      </c>
      <c r="G56" s="3">
        <f t="shared" si="9"/>
        <v>-0.9393021596463883</v>
      </c>
      <c r="L56">
        <f t="shared" si="12"/>
        <v>21</v>
      </c>
      <c r="M56">
        <v>35</v>
      </c>
      <c r="N56" s="3">
        <f t="shared" si="8"/>
        <v>0.12216763397420753</v>
      </c>
      <c r="P56" s="3">
        <f>STDEV(N36:N60)</f>
        <v>0.07180737869184245</v>
      </c>
      <c r="R56" s="3">
        <f t="shared" si="10"/>
        <v>-0.9130438370413083</v>
      </c>
    </row>
    <row r="57" spans="1:18" ht="12.75">
      <c r="A57">
        <f t="shared" si="11"/>
        <v>22</v>
      </c>
      <c r="B57">
        <v>33</v>
      </c>
      <c r="C57" s="3">
        <v>0.205</v>
      </c>
      <c r="E57" t="s">
        <v>126</v>
      </c>
      <c r="F57" s="89" t="s">
        <v>323</v>
      </c>
      <c r="G57" s="3">
        <f t="shared" si="9"/>
        <v>-0.6882461389442458</v>
      </c>
      <c r="L57">
        <f t="shared" si="12"/>
        <v>22</v>
      </c>
      <c r="M57">
        <v>33</v>
      </c>
      <c r="N57" s="3">
        <f t="shared" si="8"/>
        <v>0.22941316432780512</v>
      </c>
      <c r="P57" t="s">
        <v>126</v>
      </c>
      <c r="Q57" s="89" t="s">
        <v>323</v>
      </c>
      <c r="R57" s="3">
        <f t="shared" si="10"/>
        <v>-0.6393816647656718</v>
      </c>
    </row>
    <row r="58" spans="1:18" ht="12.75">
      <c r="A58">
        <f t="shared" si="11"/>
        <v>23</v>
      </c>
      <c r="B58">
        <v>26</v>
      </c>
      <c r="C58" s="3">
        <v>0.255</v>
      </c>
      <c r="E58" s="3">
        <f>EXP(SQRT(LN(POWER(E56,2)/POWER(E54,2)+1)))</f>
        <v>1.2625161836517986</v>
      </c>
      <c r="F58" s="90">
        <f>F60/E60</f>
        <v>1.053644062060352</v>
      </c>
      <c r="G58" s="3">
        <f t="shared" si="9"/>
        <v>-0.5934598195660448</v>
      </c>
      <c r="L58">
        <f t="shared" si="12"/>
        <v>23</v>
      </c>
      <c r="M58">
        <v>26</v>
      </c>
      <c r="N58" s="3">
        <f t="shared" si="8"/>
        <v>0.2943710606025775</v>
      </c>
      <c r="P58" s="3">
        <f>EXP(SQRT(LN(POWER(P56,2)/POWER(P54,2)+1)))</f>
        <v>1.306826009612537</v>
      </c>
      <c r="Q58" s="90">
        <f>Q60/P60</f>
        <v>1.0428306526814424</v>
      </c>
      <c r="R58" s="3">
        <f t="shared" si="10"/>
        <v>-0.531104887399675</v>
      </c>
    </row>
    <row r="59" spans="1:18" ht="12.75">
      <c r="A59">
        <f t="shared" si="11"/>
        <v>24</v>
      </c>
      <c r="B59">
        <v>35</v>
      </c>
      <c r="C59" s="3">
        <v>0.31</v>
      </c>
      <c r="E59" t="s">
        <v>384</v>
      </c>
      <c r="F59" t="s">
        <v>384</v>
      </c>
      <c r="G59" s="3">
        <f t="shared" si="9"/>
        <v>-0.5086383061657272</v>
      </c>
      <c r="L59">
        <f t="shared" si="12"/>
        <v>24</v>
      </c>
      <c r="M59">
        <v>35</v>
      </c>
      <c r="N59" s="3">
        <f t="shared" si="8"/>
        <v>0.371063681390832</v>
      </c>
      <c r="P59" t="s">
        <v>384</v>
      </c>
      <c r="Q59" t="s">
        <v>384</v>
      </c>
      <c r="R59" s="3">
        <f t="shared" si="10"/>
        <v>-0.4305515510229028</v>
      </c>
    </row>
    <row r="60" spans="1:18" ht="12.75">
      <c r="A60">
        <v>25</v>
      </c>
      <c r="B60">
        <v>24</v>
      </c>
      <c r="C60" s="3">
        <v>0.22</v>
      </c>
      <c r="E60" s="40">
        <f>LOG10(E58)</f>
        <v>0.10123695386050138</v>
      </c>
      <c r="F60" s="94">
        <f>STDEV(G36:G60)</f>
        <v>0.10666771529619512</v>
      </c>
      <c r="G60" s="3">
        <f t="shared" si="9"/>
        <v>-0.6575773191777937</v>
      </c>
      <c r="L60">
        <v>25</v>
      </c>
      <c r="M60">
        <v>24</v>
      </c>
      <c r="N60" s="3">
        <f t="shared" si="8"/>
        <v>0.24846135929849958</v>
      </c>
      <c r="P60" s="40">
        <f>LOG10(P58)</f>
        <v>0.11621776960412726</v>
      </c>
      <c r="Q60" s="178">
        <f>STDEV(R36:R60)</f>
        <v>0.12119545252945352</v>
      </c>
      <c r="R60" s="3">
        <f t="shared" si="10"/>
        <v>-0.6047411431410941</v>
      </c>
    </row>
    <row r="62" spans="1:12" ht="12.75">
      <c r="A62" s="58" t="s">
        <v>103</v>
      </c>
      <c r="L62" s="58" t="s">
        <v>103</v>
      </c>
    </row>
    <row r="63" spans="1:12" ht="12.75">
      <c r="A63" s="59" t="s">
        <v>465</v>
      </c>
      <c r="L63" s="59" t="s">
        <v>465</v>
      </c>
    </row>
    <row r="64" spans="1:18" ht="12.75">
      <c r="A64" t="s">
        <v>127</v>
      </c>
      <c r="B64" t="s">
        <v>509</v>
      </c>
      <c r="C64" t="s">
        <v>414</v>
      </c>
      <c r="G64" t="s">
        <v>207</v>
      </c>
      <c r="L64" t="s">
        <v>127</v>
      </c>
      <c r="M64" t="s">
        <v>509</v>
      </c>
      <c r="N64" t="s">
        <v>414</v>
      </c>
      <c r="R64" t="s">
        <v>207</v>
      </c>
    </row>
    <row r="65" spans="1:18" ht="12.75">
      <c r="A65">
        <v>1</v>
      </c>
      <c r="B65">
        <v>47</v>
      </c>
      <c r="C65" s="3">
        <v>0.265</v>
      </c>
      <c r="G65" s="3">
        <f>LOG10(C65)</f>
        <v>-0.5767541260631921</v>
      </c>
      <c r="L65">
        <v>1</v>
      </c>
      <c r="M65">
        <v>47</v>
      </c>
      <c r="N65" s="3">
        <f aca="true" t="shared" si="13" ref="N65:N89">-LN(1-C65)</f>
        <v>0.3078847797693004</v>
      </c>
      <c r="R65" s="3">
        <f>LOG10(N65)</f>
        <v>-0.5116117798385592</v>
      </c>
    </row>
    <row r="66" spans="1:18" ht="12.75">
      <c r="A66">
        <f>A65+1</f>
        <v>2</v>
      </c>
      <c r="B66">
        <v>43</v>
      </c>
      <c r="C66" s="3">
        <v>0.225</v>
      </c>
      <c r="G66" s="3">
        <f aca="true" t="shared" si="14" ref="G66:G89">LOG10(C66)</f>
        <v>-0.6478174818886375</v>
      </c>
      <c r="L66">
        <f>L65+1</f>
        <v>2</v>
      </c>
      <c r="M66">
        <v>43</v>
      </c>
      <c r="N66" s="3">
        <f t="shared" si="13"/>
        <v>0.25489224962879004</v>
      </c>
      <c r="R66" s="3">
        <f aca="true" t="shared" si="15" ref="R66:R89">LOG10(N66)</f>
        <v>-0.5936433696881349</v>
      </c>
    </row>
    <row r="67" spans="1:18" ht="12.75">
      <c r="A67">
        <f aca="true" t="shared" si="16" ref="A67:A88">A66+1</f>
        <v>3</v>
      </c>
      <c r="B67">
        <v>36</v>
      </c>
      <c r="C67" s="3">
        <v>0.24</v>
      </c>
      <c r="G67" s="3">
        <f t="shared" si="14"/>
        <v>-0.619788758288394</v>
      </c>
      <c r="L67">
        <f aca="true" t="shared" si="17" ref="L67:L88">L66+1</f>
        <v>3</v>
      </c>
      <c r="M67">
        <v>36</v>
      </c>
      <c r="N67" s="3">
        <f t="shared" si="13"/>
        <v>0.27443684570176025</v>
      </c>
      <c r="R67" s="3">
        <f t="shared" si="15"/>
        <v>-0.5615575809729126</v>
      </c>
    </row>
    <row r="68" spans="1:18" ht="12.75">
      <c r="A68">
        <f t="shared" si="16"/>
        <v>4</v>
      </c>
      <c r="B68">
        <v>35</v>
      </c>
      <c r="C68" s="3">
        <v>0.32</v>
      </c>
      <c r="G68" s="3">
        <f t="shared" si="14"/>
        <v>-0.494850021680094</v>
      </c>
      <c r="L68">
        <f t="shared" si="17"/>
        <v>4</v>
      </c>
      <c r="M68">
        <v>35</v>
      </c>
      <c r="N68" s="3">
        <f t="shared" si="13"/>
        <v>0.3856624808119848</v>
      </c>
      <c r="R68" s="3">
        <f t="shared" si="15"/>
        <v>-0.41379260943288027</v>
      </c>
    </row>
    <row r="69" spans="1:18" ht="12.75">
      <c r="A69">
        <f t="shared" si="16"/>
        <v>5</v>
      </c>
      <c r="B69">
        <v>26</v>
      </c>
      <c r="C69" s="3">
        <v>0.255</v>
      </c>
      <c r="G69" s="3">
        <f t="shared" si="14"/>
        <v>-0.5934598195660448</v>
      </c>
      <c r="L69">
        <f t="shared" si="17"/>
        <v>5</v>
      </c>
      <c r="M69">
        <v>26</v>
      </c>
      <c r="N69" s="3">
        <f t="shared" si="13"/>
        <v>0.2943710606025775</v>
      </c>
      <c r="R69" s="3">
        <f t="shared" si="15"/>
        <v>-0.531104887399675</v>
      </c>
    </row>
    <row r="70" spans="1:18" ht="12.75">
      <c r="A70">
        <f t="shared" si="16"/>
        <v>6</v>
      </c>
      <c r="B70">
        <v>31</v>
      </c>
      <c r="C70" s="3">
        <v>0.25</v>
      </c>
      <c r="G70" s="3">
        <f t="shared" si="14"/>
        <v>-0.6020599913279624</v>
      </c>
      <c r="L70">
        <f t="shared" si="17"/>
        <v>6</v>
      </c>
      <c r="M70">
        <v>31</v>
      </c>
      <c r="N70" s="3">
        <f t="shared" si="13"/>
        <v>0.2876820724517809</v>
      </c>
      <c r="R70" s="3">
        <f t="shared" si="15"/>
        <v>-0.5410872012930469</v>
      </c>
    </row>
    <row r="71" spans="1:18" ht="12.75">
      <c r="A71">
        <f t="shared" si="16"/>
        <v>7</v>
      </c>
      <c r="B71">
        <v>36</v>
      </c>
      <c r="C71" s="3">
        <v>0.39</v>
      </c>
      <c r="G71" s="3">
        <f t="shared" si="14"/>
        <v>-0.40893539297350073</v>
      </c>
      <c r="L71">
        <f t="shared" si="17"/>
        <v>7</v>
      </c>
      <c r="M71">
        <v>36</v>
      </c>
      <c r="N71" s="3">
        <f t="shared" si="13"/>
        <v>0.4942963218147801</v>
      </c>
      <c r="R71" s="3">
        <f t="shared" si="15"/>
        <v>-0.3060126212233984</v>
      </c>
    </row>
    <row r="72" spans="1:18" ht="12.75">
      <c r="A72">
        <f t="shared" si="16"/>
        <v>8</v>
      </c>
      <c r="B72">
        <v>33</v>
      </c>
      <c r="C72" s="3">
        <v>0.245</v>
      </c>
      <c r="G72" s="3">
        <f t="shared" si="14"/>
        <v>-0.6108339156354675</v>
      </c>
      <c r="L72">
        <f t="shared" si="17"/>
        <v>8</v>
      </c>
      <c r="M72">
        <v>33</v>
      </c>
      <c r="N72" s="3">
        <f t="shared" si="13"/>
        <v>0.28103752973311236</v>
      </c>
      <c r="R72" s="3">
        <f t="shared" si="15"/>
        <v>-0.5512356805658497</v>
      </c>
    </row>
    <row r="73" spans="1:18" ht="12.75">
      <c r="A73">
        <f t="shared" si="16"/>
        <v>9</v>
      </c>
      <c r="B73">
        <v>26</v>
      </c>
      <c r="C73" s="3">
        <v>0.31</v>
      </c>
      <c r="G73" s="3">
        <f t="shared" si="14"/>
        <v>-0.5086383061657272</v>
      </c>
      <c r="L73">
        <f t="shared" si="17"/>
        <v>9</v>
      </c>
      <c r="M73">
        <v>26</v>
      </c>
      <c r="N73" s="3">
        <f t="shared" si="13"/>
        <v>0.371063681390832</v>
      </c>
      <c r="R73" s="3">
        <f t="shared" si="15"/>
        <v>-0.4305515510229028</v>
      </c>
    </row>
    <row r="74" spans="1:18" ht="12.75">
      <c r="A74">
        <f t="shared" si="16"/>
        <v>10</v>
      </c>
      <c r="B74">
        <v>28</v>
      </c>
      <c r="C74" s="3">
        <v>0.36</v>
      </c>
      <c r="G74" s="3">
        <f t="shared" si="14"/>
        <v>-0.44369749923271273</v>
      </c>
      <c r="L74">
        <f t="shared" si="17"/>
        <v>10</v>
      </c>
      <c r="M74">
        <v>28</v>
      </c>
      <c r="N74" s="3">
        <f t="shared" si="13"/>
        <v>0.44628710262841953</v>
      </c>
      <c r="R74" s="3">
        <f t="shared" si="15"/>
        <v>-0.350385663771713</v>
      </c>
    </row>
    <row r="75" spans="1:18" ht="12.75">
      <c r="A75">
        <f t="shared" si="16"/>
        <v>11</v>
      </c>
      <c r="B75">
        <v>27</v>
      </c>
      <c r="C75" s="3">
        <v>0.18</v>
      </c>
      <c r="G75" s="3">
        <f t="shared" si="14"/>
        <v>-0.7447274948966939</v>
      </c>
      <c r="L75">
        <f t="shared" si="17"/>
        <v>11</v>
      </c>
      <c r="M75">
        <v>27</v>
      </c>
      <c r="N75" s="3">
        <f t="shared" si="13"/>
        <v>0.19845093872383818</v>
      </c>
      <c r="R75" s="3">
        <f t="shared" si="15"/>
        <v>-0.7023468424276733</v>
      </c>
    </row>
    <row r="76" spans="1:18" ht="12.75">
      <c r="A76">
        <f t="shared" si="16"/>
        <v>12</v>
      </c>
      <c r="B76">
        <v>25</v>
      </c>
      <c r="C76" s="3">
        <v>0.32</v>
      </c>
      <c r="G76" s="3">
        <f t="shared" si="14"/>
        <v>-0.494850021680094</v>
      </c>
      <c r="L76">
        <f t="shared" si="17"/>
        <v>12</v>
      </c>
      <c r="M76">
        <v>25</v>
      </c>
      <c r="N76" s="3">
        <f t="shared" si="13"/>
        <v>0.3856624808119848</v>
      </c>
      <c r="R76" s="3">
        <f t="shared" si="15"/>
        <v>-0.41379260943288027</v>
      </c>
    </row>
    <row r="77" spans="1:18" ht="12.75">
      <c r="A77">
        <f t="shared" si="16"/>
        <v>13</v>
      </c>
      <c r="B77">
        <v>32</v>
      </c>
      <c r="C77" s="3">
        <v>0.49</v>
      </c>
      <c r="G77" s="3">
        <f t="shared" si="14"/>
        <v>-0.3098039199714863</v>
      </c>
      <c r="L77">
        <f t="shared" si="17"/>
        <v>13</v>
      </c>
      <c r="M77">
        <v>32</v>
      </c>
      <c r="N77" s="3">
        <f t="shared" si="13"/>
        <v>0.6733445532637656</v>
      </c>
      <c r="R77" s="3">
        <f t="shared" si="15"/>
        <v>-0.17176264857015267</v>
      </c>
    </row>
    <row r="78" spans="1:18" ht="12.75">
      <c r="A78">
        <f t="shared" si="16"/>
        <v>14</v>
      </c>
      <c r="B78">
        <v>42</v>
      </c>
      <c r="C78" s="3">
        <v>0.41</v>
      </c>
      <c r="G78" s="3">
        <f t="shared" si="14"/>
        <v>-0.38721614328026455</v>
      </c>
      <c r="L78">
        <f t="shared" si="17"/>
        <v>14</v>
      </c>
      <c r="M78">
        <v>42</v>
      </c>
      <c r="N78" s="3">
        <f t="shared" si="13"/>
        <v>0.5276327420823718</v>
      </c>
      <c r="R78" s="3">
        <f t="shared" si="15"/>
        <v>-0.27766826228319447</v>
      </c>
    </row>
    <row r="79" spans="1:18" ht="12.75">
      <c r="A79">
        <f t="shared" si="16"/>
        <v>15</v>
      </c>
      <c r="B79">
        <v>40</v>
      </c>
      <c r="C79" s="3">
        <v>0.31</v>
      </c>
      <c r="G79" s="3">
        <f t="shared" si="14"/>
        <v>-0.5086383061657272</v>
      </c>
      <c r="L79">
        <f t="shared" si="17"/>
        <v>15</v>
      </c>
      <c r="M79">
        <v>40</v>
      </c>
      <c r="N79" s="3">
        <f t="shared" si="13"/>
        <v>0.371063681390832</v>
      </c>
      <c r="R79" s="3">
        <f t="shared" si="15"/>
        <v>-0.4305515510229028</v>
      </c>
    </row>
    <row r="80" spans="1:18" ht="12.75">
      <c r="A80">
        <f t="shared" si="16"/>
        <v>16</v>
      </c>
      <c r="B80">
        <v>40</v>
      </c>
      <c r="C80" s="3">
        <v>0.21</v>
      </c>
      <c r="E80" t="s">
        <v>519</v>
      </c>
      <c r="G80" s="3">
        <f t="shared" si="14"/>
        <v>-0.6777807052660807</v>
      </c>
      <c r="L80">
        <f t="shared" si="17"/>
        <v>16</v>
      </c>
      <c r="M80">
        <v>40</v>
      </c>
      <c r="N80" s="3">
        <f t="shared" si="13"/>
        <v>0.23572233352106983</v>
      </c>
      <c r="P80" t="s">
        <v>519</v>
      </c>
      <c r="R80" s="3">
        <f t="shared" si="15"/>
        <v>-0.6275992682798079</v>
      </c>
    </row>
    <row r="81" spans="1:18" ht="12.75">
      <c r="A81">
        <f t="shared" si="16"/>
        <v>17</v>
      </c>
      <c r="B81">
        <v>28</v>
      </c>
      <c r="C81" s="3">
        <v>0.33</v>
      </c>
      <c r="E81">
        <f>COUNT(C65:C89)</f>
        <v>25</v>
      </c>
      <c r="G81" s="3">
        <f t="shared" si="14"/>
        <v>-0.48148606012211254</v>
      </c>
      <c r="L81">
        <f t="shared" si="17"/>
        <v>17</v>
      </c>
      <c r="M81">
        <v>28</v>
      </c>
      <c r="N81" s="3">
        <f t="shared" si="13"/>
        <v>0.4004775665971254</v>
      </c>
      <c r="P81">
        <f>COUNT(N65:N89)</f>
        <v>25</v>
      </c>
      <c r="R81" s="3">
        <f t="shared" si="15"/>
        <v>-0.3974218066108305</v>
      </c>
    </row>
    <row r="82" spans="1:18" ht="12.75">
      <c r="A82">
        <f t="shared" si="16"/>
        <v>18</v>
      </c>
      <c r="B82">
        <v>36</v>
      </c>
      <c r="C82" s="3">
        <v>0.41</v>
      </c>
      <c r="E82" t="s">
        <v>598</v>
      </c>
      <c r="G82" s="3">
        <f t="shared" si="14"/>
        <v>-0.38721614328026455</v>
      </c>
      <c r="L82">
        <f t="shared" si="17"/>
        <v>18</v>
      </c>
      <c r="M82">
        <v>36</v>
      </c>
      <c r="N82" s="3">
        <f t="shared" si="13"/>
        <v>0.5276327420823718</v>
      </c>
      <c r="P82" t="s">
        <v>598</v>
      </c>
      <c r="R82" s="3">
        <f t="shared" si="15"/>
        <v>-0.27766826228319447</v>
      </c>
    </row>
    <row r="83" spans="1:18" ht="12.75">
      <c r="A83">
        <f t="shared" si="16"/>
        <v>19</v>
      </c>
      <c r="B83">
        <v>28</v>
      </c>
      <c r="C83" s="3">
        <v>0.31</v>
      </c>
      <c r="E83" s="3">
        <f>AVERAGE(C65:C89)</f>
        <v>0.29540000000000005</v>
      </c>
      <c r="G83" s="3">
        <f t="shared" si="14"/>
        <v>-0.5086383061657272</v>
      </c>
      <c r="L83">
        <f t="shared" si="17"/>
        <v>19</v>
      </c>
      <c r="M83">
        <v>28</v>
      </c>
      <c r="N83" s="3">
        <f t="shared" si="13"/>
        <v>0.371063681390832</v>
      </c>
      <c r="P83" s="3">
        <f>AVERAGE(N65:N89)</f>
        <v>0.3564692904490787</v>
      </c>
      <c r="R83" s="3">
        <f t="shared" si="15"/>
        <v>-0.4305515510229028</v>
      </c>
    </row>
    <row r="84" spans="1:18" ht="12.75">
      <c r="A84">
        <f t="shared" si="16"/>
        <v>20</v>
      </c>
      <c r="B84">
        <v>28</v>
      </c>
      <c r="C84" s="3">
        <v>0.195</v>
      </c>
      <c r="E84" t="s">
        <v>431</v>
      </c>
      <c r="G84" s="3">
        <f t="shared" si="14"/>
        <v>-0.7099653886374819</v>
      </c>
      <c r="L84">
        <f t="shared" si="17"/>
        <v>20</v>
      </c>
      <c r="M84">
        <v>28</v>
      </c>
      <c r="N84" s="3">
        <f t="shared" si="13"/>
        <v>0.21691300156357377</v>
      </c>
      <c r="P84" t="s">
        <v>431</v>
      </c>
      <c r="R84" s="3">
        <f t="shared" si="15"/>
        <v>-0.6637144159983027</v>
      </c>
    </row>
    <row r="85" spans="1:18" ht="12.75">
      <c r="A85">
        <f t="shared" si="16"/>
        <v>21</v>
      </c>
      <c r="B85">
        <v>35</v>
      </c>
      <c r="C85" s="3">
        <v>0.15</v>
      </c>
      <c r="E85" s="3">
        <f>STDEV(C65:C89)</f>
        <v>0.07906906263935759</v>
      </c>
      <c r="G85" s="3">
        <f t="shared" si="14"/>
        <v>-0.8239087409443188</v>
      </c>
      <c r="L85">
        <f t="shared" si="17"/>
        <v>21</v>
      </c>
      <c r="M85">
        <v>35</v>
      </c>
      <c r="N85" s="3">
        <f t="shared" si="13"/>
        <v>0.1625189294977749</v>
      </c>
      <c r="P85" s="3">
        <f>STDEV(N65:N89)</f>
        <v>0.11655339425912142</v>
      </c>
      <c r="R85" s="3">
        <f t="shared" si="15"/>
        <v>-0.7890960470073316</v>
      </c>
    </row>
    <row r="86" spans="1:18" ht="12.75">
      <c r="A86">
        <f t="shared" si="16"/>
        <v>22</v>
      </c>
      <c r="B86">
        <v>33</v>
      </c>
      <c r="C86" s="3">
        <v>0.34</v>
      </c>
      <c r="E86" t="s">
        <v>126</v>
      </c>
      <c r="F86" s="89" t="s">
        <v>323</v>
      </c>
      <c r="G86" s="3">
        <f t="shared" si="14"/>
        <v>-0.46852108295774486</v>
      </c>
      <c r="L86">
        <f t="shared" si="17"/>
        <v>22</v>
      </c>
      <c r="M86">
        <v>33</v>
      </c>
      <c r="N86" s="3">
        <f t="shared" si="13"/>
        <v>0.4155154439616659</v>
      </c>
      <c r="P86" t="s">
        <v>126</v>
      </c>
      <c r="Q86" s="89" t="s">
        <v>323</v>
      </c>
      <c r="R86" s="3">
        <f t="shared" si="15"/>
        <v>-0.38141282963515083</v>
      </c>
    </row>
    <row r="87" spans="1:18" ht="12.75">
      <c r="A87">
        <f t="shared" si="16"/>
        <v>23</v>
      </c>
      <c r="B87">
        <v>26</v>
      </c>
      <c r="C87" s="3">
        <v>0.31</v>
      </c>
      <c r="E87" s="3">
        <f>EXP(SQRT(LN(POWER(E85,2)/POWER(E83,2)+1)))</f>
        <v>1.300893048216193</v>
      </c>
      <c r="F87" s="90">
        <f>F89/E89</f>
        <v>1.0479233190755195</v>
      </c>
      <c r="G87" s="3">
        <f t="shared" si="14"/>
        <v>-0.5086383061657272</v>
      </c>
      <c r="L87">
        <f t="shared" si="17"/>
        <v>23</v>
      </c>
      <c r="M87">
        <v>26</v>
      </c>
      <c r="N87" s="3">
        <f t="shared" si="13"/>
        <v>0.371063681390832</v>
      </c>
      <c r="P87" s="3">
        <f>EXP(SQRT(LN(POWER(P85,2)/POWER(P83,2)+1)))</f>
        <v>1.3753382954554243</v>
      </c>
      <c r="Q87" s="90">
        <f>Q89/P89</f>
        <v>1.0315892414700232</v>
      </c>
      <c r="R87" s="3">
        <f t="shared" si="15"/>
        <v>-0.4305515510229028</v>
      </c>
    </row>
    <row r="88" spans="1:18" ht="12.75">
      <c r="A88">
        <f t="shared" si="16"/>
        <v>24</v>
      </c>
      <c r="B88">
        <v>35</v>
      </c>
      <c r="C88" s="3">
        <v>0.285</v>
      </c>
      <c r="E88" t="s">
        <v>384</v>
      </c>
      <c r="F88" t="s">
        <v>384</v>
      </c>
      <c r="G88" s="3">
        <f t="shared" si="14"/>
        <v>-0.5451551399914898</v>
      </c>
      <c r="L88">
        <f t="shared" si="17"/>
        <v>24</v>
      </c>
      <c r="M88">
        <v>35</v>
      </c>
      <c r="N88" s="3">
        <f t="shared" si="13"/>
        <v>0.3354727362881293</v>
      </c>
      <c r="P88" t="s">
        <v>384</v>
      </c>
      <c r="Q88" t="s">
        <v>384</v>
      </c>
      <c r="R88" s="3">
        <f t="shared" si="15"/>
        <v>-0.4743427689696351</v>
      </c>
    </row>
    <row r="89" spans="1:18" ht="12.75">
      <c r="A89">
        <v>25</v>
      </c>
      <c r="B89">
        <v>24</v>
      </c>
      <c r="C89" s="3">
        <v>0.275</v>
      </c>
      <c r="E89" s="40">
        <f>LOG10(E87)</f>
        <v>0.11424159288837406</v>
      </c>
      <c r="F89" s="94">
        <f>STDEV(G65:G89)</f>
        <v>0.1197164291960592</v>
      </c>
      <c r="G89" s="3">
        <f t="shared" si="14"/>
        <v>-0.5606673061697373</v>
      </c>
      <c r="L89">
        <v>25</v>
      </c>
      <c r="M89">
        <v>24</v>
      </c>
      <c r="N89" s="3">
        <f t="shared" si="13"/>
        <v>0.32158362412746233</v>
      </c>
      <c r="P89" s="40">
        <f>LOG10(P87)</f>
        <v>0.13840953582369067</v>
      </c>
      <c r="Q89" s="178">
        <f>STDEV(R65:R89)</f>
        <v>0.14278178807257907</v>
      </c>
      <c r="R89" s="3">
        <f t="shared" si="15"/>
        <v>-0.4927060747623795</v>
      </c>
    </row>
    <row r="91" spans="1:12" ht="12.75">
      <c r="A91" s="58" t="s">
        <v>103</v>
      </c>
      <c r="L91" s="58" t="s">
        <v>103</v>
      </c>
    </row>
    <row r="92" spans="1:12" ht="12.75">
      <c r="A92" s="59" t="s">
        <v>466</v>
      </c>
      <c r="L92" s="59" t="s">
        <v>466</v>
      </c>
    </row>
    <row r="93" spans="1:18" ht="12.75">
      <c r="A93" t="s">
        <v>127</v>
      </c>
      <c r="B93" t="s">
        <v>509</v>
      </c>
      <c r="C93" t="s">
        <v>414</v>
      </c>
      <c r="G93" t="s">
        <v>207</v>
      </c>
      <c r="L93" t="s">
        <v>127</v>
      </c>
      <c r="M93" t="s">
        <v>509</v>
      </c>
      <c r="N93" t="s">
        <v>414</v>
      </c>
      <c r="R93" t="s">
        <v>207</v>
      </c>
    </row>
    <row r="94" spans="1:18" ht="12.75">
      <c r="A94">
        <v>1</v>
      </c>
      <c r="B94">
        <v>47</v>
      </c>
      <c r="C94" s="3">
        <v>0.57</v>
      </c>
      <c r="G94" s="3">
        <f>LOG10(C94)</f>
        <v>-0.24412514432750865</v>
      </c>
      <c r="L94">
        <v>1</v>
      </c>
      <c r="M94">
        <v>47</v>
      </c>
      <c r="N94" s="3">
        <f aca="true" t="shared" si="18" ref="N94:N118">-LN(1-C94)</f>
        <v>0.8439700702945289</v>
      </c>
      <c r="R94" s="3">
        <f>LOG10(N94)</f>
        <v>-0.07367295448383286</v>
      </c>
    </row>
    <row r="95" spans="1:18" ht="12.75">
      <c r="A95">
        <f>A94+1</f>
        <v>2</v>
      </c>
      <c r="B95">
        <v>43</v>
      </c>
      <c r="C95" s="3">
        <v>0.52</v>
      </c>
      <c r="G95" s="3">
        <f aca="true" t="shared" si="19" ref="G95:G118">LOG10(C95)</f>
        <v>-0.2839966563652008</v>
      </c>
      <c r="L95">
        <f>L94+1</f>
        <v>2</v>
      </c>
      <c r="M95">
        <v>43</v>
      </c>
      <c r="N95" s="3">
        <f t="shared" si="18"/>
        <v>0.7339691750802004</v>
      </c>
      <c r="R95" s="3">
        <f aca="true" t="shared" si="20" ref="R95:R118">LOG10(N95)</f>
        <v>-0.1343221790126526</v>
      </c>
    </row>
    <row r="96" spans="1:18" ht="12.75">
      <c r="A96">
        <f aca="true" t="shared" si="21" ref="A96:A117">A95+1</f>
        <v>3</v>
      </c>
      <c r="B96">
        <v>36</v>
      </c>
      <c r="C96" s="3">
        <v>0.54</v>
      </c>
      <c r="G96" s="3">
        <f t="shared" si="19"/>
        <v>-0.2676062401770315</v>
      </c>
      <c r="L96">
        <f aca="true" t="shared" si="22" ref="L96:L117">L95+1</f>
        <v>3</v>
      </c>
      <c r="M96">
        <v>36</v>
      </c>
      <c r="N96" s="3">
        <f t="shared" si="18"/>
        <v>0.7765287894989965</v>
      </c>
      <c r="R96" s="3">
        <f t="shared" si="20"/>
        <v>-0.1098424383400924</v>
      </c>
    </row>
    <row r="97" spans="1:18" ht="12.75">
      <c r="A97">
        <f t="shared" si="21"/>
        <v>4</v>
      </c>
      <c r="B97">
        <v>35</v>
      </c>
      <c r="C97" s="3">
        <v>0.515</v>
      </c>
      <c r="G97" s="3">
        <f t="shared" si="19"/>
        <v>-0.28819277095880896</v>
      </c>
      <c r="L97">
        <f t="shared" si="22"/>
        <v>4</v>
      </c>
      <c r="M97">
        <v>35</v>
      </c>
      <c r="N97" s="3">
        <f t="shared" si="18"/>
        <v>0.7236063880446539</v>
      </c>
      <c r="R97" s="3">
        <f t="shared" si="20"/>
        <v>-0.14049760781512943</v>
      </c>
    </row>
    <row r="98" spans="1:18" ht="12.75">
      <c r="A98">
        <f t="shared" si="21"/>
        <v>5</v>
      </c>
      <c r="B98">
        <v>26</v>
      </c>
      <c r="C98" s="3">
        <v>0.47</v>
      </c>
      <c r="G98" s="3">
        <f t="shared" si="19"/>
        <v>-0.32790214206428253</v>
      </c>
      <c r="L98">
        <f t="shared" si="22"/>
        <v>5</v>
      </c>
      <c r="M98">
        <v>26</v>
      </c>
      <c r="N98" s="3">
        <f t="shared" si="18"/>
        <v>0.6348782724359695</v>
      </c>
      <c r="R98" s="3">
        <f t="shared" si="20"/>
        <v>-0.197309535616827</v>
      </c>
    </row>
    <row r="99" spans="1:18" ht="12.75">
      <c r="A99">
        <f t="shared" si="21"/>
        <v>6</v>
      </c>
      <c r="B99">
        <v>31</v>
      </c>
      <c r="C99" s="3">
        <v>0.51</v>
      </c>
      <c r="G99" s="3">
        <f t="shared" si="19"/>
        <v>-0.2924298239020636</v>
      </c>
      <c r="L99">
        <f t="shared" si="22"/>
        <v>6</v>
      </c>
      <c r="M99">
        <v>31</v>
      </c>
      <c r="N99" s="3">
        <f t="shared" si="18"/>
        <v>0.7133498878774648</v>
      </c>
      <c r="R99" s="3">
        <f t="shared" si="20"/>
        <v>-0.1466974026829814</v>
      </c>
    </row>
    <row r="100" spans="1:18" ht="12.75">
      <c r="A100">
        <f t="shared" si="21"/>
        <v>7</v>
      </c>
      <c r="B100">
        <v>36</v>
      </c>
      <c r="C100" s="3">
        <v>0.565</v>
      </c>
      <c r="G100" s="3">
        <f t="shared" si="19"/>
        <v>-0.2479515521805615</v>
      </c>
      <c r="L100">
        <f t="shared" si="22"/>
        <v>7</v>
      </c>
      <c r="M100">
        <v>36</v>
      </c>
      <c r="N100" s="3">
        <f t="shared" si="18"/>
        <v>0.8324092478934528</v>
      </c>
      <c r="R100" s="3">
        <f t="shared" si="20"/>
        <v>-0.07966310351232618</v>
      </c>
    </row>
    <row r="101" spans="1:18" ht="12.75">
      <c r="A101">
        <f t="shared" si="21"/>
        <v>8</v>
      </c>
      <c r="B101">
        <v>33</v>
      </c>
      <c r="C101" s="3">
        <v>0.555</v>
      </c>
      <c r="G101" s="3">
        <f t="shared" si="19"/>
        <v>-0.2557070168773237</v>
      </c>
      <c r="L101">
        <f t="shared" si="22"/>
        <v>8</v>
      </c>
      <c r="M101">
        <v>33</v>
      </c>
      <c r="N101" s="3">
        <f t="shared" si="18"/>
        <v>0.8096809968158969</v>
      </c>
      <c r="R101" s="3">
        <f t="shared" si="20"/>
        <v>-0.09168605348020276</v>
      </c>
    </row>
    <row r="102" spans="1:18" ht="12.75">
      <c r="A102">
        <f t="shared" si="21"/>
        <v>9</v>
      </c>
      <c r="B102">
        <v>26</v>
      </c>
      <c r="C102" s="3">
        <v>0.525</v>
      </c>
      <c r="G102" s="3">
        <f t="shared" si="19"/>
        <v>-0.2798406965940431</v>
      </c>
      <c r="L102">
        <f t="shared" si="22"/>
        <v>9</v>
      </c>
      <c r="M102">
        <v>26</v>
      </c>
      <c r="N102" s="3">
        <f t="shared" si="18"/>
        <v>0.7444404749474959</v>
      </c>
      <c r="R102" s="3">
        <f t="shared" si="20"/>
        <v>-0.1281700224723718</v>
      </c>
    </row>
    <row r="103" spans="1:18" ht="12.75">
      <c r="A103">
        <f t="shared" si="21"/>
        <v>10</v>
      </c>
      <c r="B103">
        <v>28</v>
      </c>
      <c r="C103" s="3">
        <v>0.66</v>
      </c>
      <c r="G103" s="3">
        <f t="shared" si="19"/>
        <v>-0.1804560644581313</v>
      </c>
      <c r="L103">
        <f t="shared" si="22"/>
        <v>10</v>
      </c>
      <c r="M103">
        <v>28</v>
      </c>
      <c r="N103" s="3">
        <f t="shared" si="18"/>
        <v>1.0788096613719302</v>
      </c>
      <c r="R103" s="3">
        <f t="shared" si="20"/>
        <v>0.03294482715954156</v>
      </c>
    </row>
    <row r="104" spans="1:18" ht="12.75">
      <c r="A104">
        <f t="shared" si="21"/>
        <v>11</v>
      </c>
      <c r="B104">
        <v>27</v>
      </c>
      <c r="C104" s="3">
        <v>0.42</v>
      </c>
      <c r="G104" s="3">
        <f t="shared" si="19"/>
        <v>-0.37675070960209955</v>
      </c>
      <c r="L104">
        <f t="shared" si="22"/>
        <v>11</v>
      </c>
      <c r="M104">
        <v>27</v>
      </c>
      <c r="N104" s="3">
        <f t="shared" si="18"/>
        <v>0.5447271754416719</v>
      </c>
      <c r="R104" s="3">
        <f t="shared" si="20"/>
        <v>-0.26382095802967165</v>
      </c>
    </row>
    <row r="105" spans="1:18" ht="12.75">
      <c r="A105">
        <f t="shared" si="21"/>
        <v>12</v>
      </c>
      <c r="B105">
        <v>25</v>
      </c>
      <c r="C105" s="3">
        <v>0.69</v>
      </c>
      <c r="G105" s="3">
        <f t="shared" si="19"/>
        <v>-0.1611509092627447</v>
      </c>
      <c r="L105">
        <f t="shared" si="22"/>
        <v>12</v>
      </c>
      <c r="M105">
        <v>25</v>
      </c>
      <c r="N105" s="3">
        <f t="shared" si="18"/>
        <v>1.1711829815029449</v>
      </c>
      <c r="R105" s="3">
        <f t="shared" si="20"/>
        <v>0.06862475301327431</v>
      </c>
    </row>
    <row r="106" spans="1:18" ht="12.75">
      <c r="A106">
        <f t="shared" si="21"/>
        <v>13</v>
      </c>
      <c r="B106">
        <v>32</v>
      </c>
      <c r="C106" s="3">
        <v>0.67</v>
      </c>
      <c r="G106" s="3">
        <f t="shared" si="19"/>
        <v>-0.17392519729917352</v>
      </c>
      <c r="L106">
        <f t="shared" si="22"/>
        <v>13</v>
      </c>
      <c r="M106">
        <v>32</v>
      </c>
      <c r="N106" s="3">
        <f t="shared" si="18"/>
        <v>1.1086626245216111</v>
      </c>
      <c r="R106" s="3">
        <f t="shared" si="20"/>
        <v>0.04479940674427135</v>
      </c>
    </row>
    <row r="107" spans="1:18" ht="12.75">
      <c r="A107">
        <f t="shared" si="21"/>
        <v>14</v>
      </c>
      <c r="B107">
        <v>42</v>
      </c>
      <c r="C107" s="3">
        <v>0.57</v>
      </c>
      <c r="G107" s="3">
        <f t="shared" si="19"/>
        <v>-0.24412514432750865</v>
      </c>
      <c r="L107">
        <f t="shared" si="22"/>
        <v>14</v>
      </c>
      <c r="M107">
        <v>42</v>
      </c>
      <c r="N107" s="3">
        <f t="shared" si="18"/>
        <v>0.8439700702945289</v>
      </c>
      <c r="R107" s="3">
        <f t="shared" si="20"/>
        <v>-0.07367295448383286</v>
      </c>
    </row>
    <row r="108" spans="1:18" ht="12.75">
      <c r="A108">
        <f t="shared" si="21"/>
        <v>15</v>
      </c>
      <c r="B108">
        <v>40</v>
      </c>
      <c r="C108" s="3">
        <v>0.47</v>
      </c>
      <c r="G108" s="3">
        <f t="shared" si="19"/>
        <v>-0.32790214206428253</v>
      </c>
      <c r="L108">
        <f t="shared" si="22"/>
        <v>15</v>
      </c>
      <c r="M108">
        <v>40</v>
      </c>
      <c r="N108" s="3">
        <f t="shared" si="18"/>
        <v>0.6348782724359695</v>
      </c>
      <c r="R108" s="3">
        <f t="shared" si="20"/>
        <v>-0.197309535616827</v>
      </c>
    </row>
    <row r="109" spans="1:18" ht="12.75">
      <c r="A109">
        <f t="shared" si="21"/>
        <v>16</v>
      </c>
      <c r="B109">
        <v>40</v>
      </c>
      <c r="C109" s="3">
        <v>0.5</v>
      </c>
      <c r="E109" t="s">
        <v>519</v>
      </c>
      <c r="G109" s="3">
        <f t="shared" si="19"/>
        <v>-0.3010299956639812</v>
      </c>
      <c r="L109">
        <f t="shared" si="22"/>
        <v>16</v>
      </c>
      <c r="M109">
        <v>40</v>
      </c>
      <c r="N109" s="3">
        <f t="shared" si="18"/>
        <v>0.6931471805599453</v>
      </c>
      <c r="P109" t="s">
        <v>519</v>
      </c>
      <c r="R109" s="3">
        <f t="shared" si="20"/>
        <v>-0.1591745389548616</v>
      </c>
    </row>
    <row r="110" spans="1:18" ht="12.75">
      <c r="A110">
        <f t="shared" si="21"/>
        <v>17</v>
      </c>
      <c r="B110">
        <v>28</v>
      </c>
      <c r="C110" s="3">
        <v>0.51</v>
      </c>
      <c r="E110">
        <f>COUNT(C94:C118)</f>
        <v>25</v>
      </c>
      <c r="G110" s="3">
        <f t="shared" si="19"/>
        <v>-0.2924298239020636</v>
      </c>
      <c r="L110">
        <f t="shared" si="22"/>
        <v>17</v>
      </c>
      <c r="M110">
        <v>28</v>
      </c>
      <c r="N110" s="3">
        <f t="shared" si="18"/>
        <v>0.7133498878774648</v>
      </c>
      <c r="P110">
        <f>COUNT(N94:N118)</f>
        <v>25</v>
      </c>
      <c r="R110" s="3">
        <f t="shared" si="20"/>
        <v>-0.1466974026829814</v>
      </c>
    </row>
    <row r="111" spans="1:18" ht="12.75">
      <c r="A111">
        <f t="shared" si="21"/>
        <v>18</v>
      </c>
      <c r="B111">
        <v>36</v>
      </c>
      <c r="C111" s="3">
        <v>0.74</v>
      </c>
      <c r="E111" t="s">
        <v>598</v>
      </c>
      <c r="G111" s="3">
        <f t="shared" si="19"/>
        <v>-0.13076828026902382</v>
      </c>
      <c r="L111">
        <f t="shared" si="22"/>
        <v>18</v>
      </c>
      <c r="M111">
        <v>36</v>
      </c>
      <c r="N111" s="3">
        <f t="shared" si="18"/>
        <v>1.3470736479666092</v>
      </c>
      <c r="P111" t="s">
        <v>598</v>
      </c>
      <c r="R111" s="3">
        <f t="shared" si="20"/>
        <v>0.1293913403637707</v>
      </c>
    </row>
    <row r="112" spans="1:18" ht="12.75">
      <c r="A112">
        <f t="shared" si="21"/>
        <v>19</v>
      </c>
      <c r="B112">
        <v>28</v>
      </c>
      <c r="C112" s="3">
        <v>0.53</v>
      </c>
      <c r="E112" s="3">
        <f>AVERAGE(C94:C118)</f>
        <v>0.538</v>
      </c>
      <c r="G112" s="3">
        <f t="shared" si="19"/>
        <v>-0.27572413039921095</v>
      </c>
      <c r="L112">
        <f t="shared" si="22"/>
        <v>19</v>
      </c>
      <c r="M112">
        <v>28</v>
      </c>
      <c r="N112" s="3">
        <f t="shared" si="18"/>
        <v>0.7550225842780328</v>
      </c>
      <c r="P112" s="3">
        <f>AVERAGE(N94:N118)</f>
        <v>0.7945152519429459</v>
      </c>
      <c r="R112" s="3">
        <f t="shared" si="20"/>
        <v>-0.12204005753553515</v>
      </c>
    </row>
    <row r="113" spans="1:18" ht="12.75">
      <c r="A113">
        <f t="shared" si="21"/>
        <v>20</v>
      </c>
      <c r="B113">
        <v>28</v>
      </c>
      <c r="C113" s="3">
        <v>0.375</v>
      </c>
      <c r="E113" t="s">
        <v>431</v>
      </c>
      <c r="G113" s="3">
        <f t="shared" si="19"/>
        <v>-0.4259687322722811</v>
      </c>
      <c r="L113">
        <f t="shared" si="22"/>
        <v>20</v>
      </c>
      <c r="M113">
        <v>28</v>
      </c>
      <c r="N113" s="3">
        <f t="shared" si="18"/>
        <v>0.4700036292457356</v>
      </c>
      <c r="P113" t="s">
        <v>431</v>
      </c>
      <c r="R113" s="3">
        <f t="shared" si="20"/>
        <v>-0.3278987885423441</v>
      </c>
    </row>
    <row r="114" spans="1:18" ht="12.75">
      <c r="A114">
        <f t="shared" si="21"/>
        <v>21</v>
      </c>
      <c r="B114">
        <v>35</v>
      </c>
      <c r="C114" s="3">
        <v>0.285</v>
      </c>
      <c r="E114" s="3">
        <f>STDEV(C94:C118)</f>
        <v>0.09759610647971553</v>
      </c>
      <c r="G114" s="3">
        <f t="shared" si="19"/>
        <v>-0.5451551399914898</v>
      </c>
      <c r="L114">
        <f t="shared" si="22"/>
        <v>21</v>
      </c>
      <c r="M114">
        <v>35</v>
      </c>
      <c r="N114" s="3">
        <f t="shared" si="18"/>
        <v>0.3354727362881293</v>
      </c>
      <c r="P114" s="3">
        <f>STDEV(N94:N118)</f>
        <v>0.2195370227969075</v>
      </c>
      <c r="R114" s="3">
        <f t="shared" si="20"/>
        <v>-0.4743427689696351</v>
      </c>
    </row>
    <row r="115" spans="1:18" ht="12.75">
      <c r="A115">
        <f t="shared" si="21"/>
        <v>22</v>
      </c>
      <c r="B115">
        <v>33</v>
      </c>
      <c r="C115" s="3">
        <v>0.64</v>
      </c>
      <c r="E115" t="s">
        <v>126</v>
      </c>
      <c r="F115" s="89" t="s">
        <v>323</v>
      </c>
      <c r="G115" s="3">
        <f t="shared" si="19"/>
        <v>-0.19382002601611284</v>
      </c>
      <c r="L115">
        <f t="shared" si="22"/>
        <v>22</v>
      </c>
      <c r="M115">
        <v>33</v>
      </c>
      <c r="N115" s="3">
        <f t="shared" si="18"/>
        <v>1.0216512475319814</v>
      </c>
      <c r="P115" t="s">
        <v>126</v>
      </c>
      <c r="Q115" s="89" t="s">
        <v>323</v>
      </c>
      <c r="R115" s="3">
        <f t="shared" si="20"/>
        <v>0.00930266965290335</v>
      </c>
    </row>
    <row r="116" spans="1:18" ht="12.75">
      <c r="A116">
        <f t="shared" si="21"/>
        <v>23</v>
      </c>
      <c r="B116">
        <v>26</v>
      </c>
      <c r="C116" s="3">
        <v>0.535</v>
      </c>
      <c r="E116" s="3">
        <f>EXP(SQRT(LN(POWER(E114,2)/POWER(E112,2)+1)))</f>
        <v>1.1971443484741802</v>
      </c>
      <c r="F116" s="90">
        <f>F118/E118</f>
        <v>1.097706589581175</v>
      </c>
      <c r="G116" s="3">
        <f t="shared" si="19"/>
        <v>-0.27164621797877153</v>
      </c>
      <c r="L116">
        <f t="shared" si="22"/>
        <v>23</v>
      </c>
      <c r="M116">
        <v>26</v>
      </c>
      <c r="N116" s="3">
        <f t="shared" si="18"/>
        <v>0.7657178733947808</v>
      </c>
      <c r="P116" s="3">
        <f>EXP(SQRT(LN(POWER(P114,2)/POWER(P112,2)+1)))</f>
        <v>1.3116016135302857</v>
      </c>
      <c r="Q116" s="90">
        <f>Q118/P118</f>
        <v>1.0660173089646698</v>
      </c>
      <c r="R116" s="3">
        <f t="shared" si="20"/>
        <v>-0.1159312154813111</v>
      </c>
    </row>
    <row r="117" spans="1:18" ht="12.75">
      <c r="A117">
        <f t="shared" si="21"/>
        <v>24</v>
      </c>
      <c r="B117">
        <v>35</v>
      </c>
      <c r="C117" s="3">
        <v>0.52</v>
      </c>
      <c r="E117" t="s">
        <v>384</v>
      </c>
      <c r="F117" t="s">
        <v>384</v>
      </c>
      <c r="G117" s="3">
        <f t="shared" si="19"/>
        <v>-0.2839966563652008</v>
      </c>
      <c r="L117">
        <f t="shared" si="22"/>
        <v>24</v>
      </c>
      <c r="M117">
        <v>35</v>
      </c>
      <c r="N117" s="3">
        <f t="shared" si="18"/>
        <v>0.7339691750802004</v>
      </c>
      <c r="P117" t="s">
        <v>384</v>
      </c>
      <c r="Q117" t="s">
        <v>384</v>
      </c>
      <c r="R117" s="3">
        <f t="shared" si="20"/>
        <v>-0.1343221790126526</v>
      </c>
    </row>
    <row r="118" spans="1:18" ht="12.75">
      <c r="A118">
        <v>25</v>
      </c>
      <c r="B118">
        <v>24</v>
      </c>
      <c r="C118" s="3">
        <v>0.565</v>
      </c>
      <c r="E118" s="40">
        <f>LOG10(E116)</f>
        <v>0.07814651963462661</v>
      </c>
      <c r="F118" s="94">
        <f>STDEV(G94:G118)</f>
        <v>0.08578194955576432</v>
      </c>
      <c r="G118" s="3">
        <f t="shared" si="19"/>
        <v>-0.2479515521805615</v>
      </c>
      <c r="L118">
        <v>25</v>
      </c>
      <c r="M118">
        <v>24</v>
      </c>
      <c r="N118" s="3">
        <f t="shared" si="18"/>
        <v>0.8324092478934528</v>
      </c>
      <c r="P118" s="40">
        <f>LOG10(P116)</f>
        <v>0.11780194226605925</v>
      </c>
      <c r="Q118" s="178">
        <f>STDEV(R94:R118)</f>
        <v>0.1255789094852759</v>
      </c>
      <c r="R118" s="3">
        <f t="shared" si="20"/>
        <v>-0.07966310351232618</v>
      </c>
    </row>
    <row r="120" spans="1:12" ht="12.75">
      <c r="A120" s="58" t="s">
        <v>103</v>
      </c>
      <c r="L120" s="58" t="s">
        <v>103</v>
      </c>
    </row>
    <row r="121" spans="1:12" ht="12.75">
      <c r="A121" s="59" t="s">
        <v>467</v>
      </c>
      <c r="L121" s="59" t="s">
        <v>467</v>
      </c>
    </row>
    <row r="122" spans="1:18" ht="12.75">
      <c r="A122" t="s">
        <v>127</v>
      </c>
      <c r="B122" t="s">
        <v>509</v>
      </c>
      <c r="C122" t="s">
        <v>414</v>
      </c>
      <c r="G122" t="s">
        <v>207</v>
      </c>
      <c r="L122" t="s">
        <v>127</v>
      </c>
      <c r="M122" t="s">
        <v>509</v>
      </c>
      <c r="N122" t="s">
        <v>414</v>
      </c>
      <c r="R122" t="s">
        <v>207</v>
      </c>
    </row>
    <row r="123" spans="1:18" ht="12.75">
      <c r="A123">
        <v>1</v>
      </c>
      <c r="B123">
        <v>47</v>
      </c>
      <c r="C123" s="3">
        <v>0.8</v>
      </c>
      <c r="G123" s="3">
        <f>LOG10(C123)</f>
        <v>-0.09691001300805638</v>
      </c>
      <c r="L123">
        <v>1</v>
      </c>
      <c r="M123">
        <v>47</v>
      </c>
      <c r="N123" s="3">
        <f>-LN(1-C123)</f>
        <v>1.6094379124341005</v>
      </c>
      <c r="R123" s="3">
        <f>LOG10(N123)</f>
        <v>0.20667422749111897</v>
      </c>
    </row>
    <row r="124" spans="1:18" ht="12.75">
      <c r="A124">
        <f>A123+1</f>
        <v>2</v>
      </c>
      <c r="B124">
        <v>43</v>
      </c>
      <c r="C124" s="3">
        <v>0.695</v>
      </c>
      <c r="G124" s="3">
        <f aca="true" t="shared" si="23" ref="G124:G147">LOG10(C124)</f>
        <v>-0.15801519540988612</v>
      </c>
      <c r="L124">
        <f>L123+1</f>
        <v>2</v>
      </c>
      <c r="M124">
        <v>43</v>
      </c>
      <c r="N124" s="3">
        <f>-LN(1-C124)</f>
        <v>1.1874435023747252</v>
      </c>
      <c r="R124" s="3">
        <f>LOG10(N124)</f>
        <v>0.07461295539955308</v>
      </c>
    </row>
    <row r="125" spans="1:18" ht="12.75">
      <c r="A125">
        <f aca="true" t="shared" si="24" ref="A125:A146">A124+1</f>
        <v>3</v>
      </c>
      <c r="B125">
        <v>36</v>
      </c>
      <c r="C125" s="3"/>
      <c r="G125" s="3"/>
      <c r="L125">
        <f aca="true" t="shared" si="25" ref="L125:L146">L124+1</f>
        <v>3</v>
      </c>
      <c r="M125">
        <v>36</v>
      </c>
      <c r="N125" s="3"/>
      <c r="R125" s="3"/>
    </row>
    <row r="126" spans="1:18" ht="12.75">
      <c r="A126">
        <f t="shared" si="24"/>
        <v>4</v>
      </c>
      <c r="B126">
        <v>35</v>
      </c>
      <c r="C126" s="3">
        <v>0.715</v>
      </c>
      <c r="G126" s="3">
        <f t="shared" si="23"/>
        <v>-0.14569395819891942</v>
      </c>
      <c r="L126">
        <f t="shared" si="25"/>
        <v>4</v>
      </c>
      <c r="M126">
        <v>35</v>
      </c>
      <c r="N126" s="3">
        <f aca="true" t="shared" si="26" ref="N126:N139">-LN(1-C126)</f>
        <v>1.2552660987134865</v>
      </c>
      <c r="R126" s="3">
        <f aca="true" t="shared" si="27" ref="R126:R139">LOG10(N126)</f>
        <v>0.09873579988314964</v>
      </c>
    </row>
    <row r="127" spans="1:18" ht="12.75">
      <c r="A127">
        <f t="shared" si="24"/>
        <v>5</v>
      </c>
      <c r="B127">
        <v>26</v>
      </c>
      <c r="C127" s="3">
        <v>0.52</v>
      </c>
      <c r="G127" s="3">
        <f t="shared" si="23"/>
        <v>-0.2839966563652008</v>
      </c>
      <c r="L127">
        <f t="shared" si="25"/>
        <v>5</v>
      </c>
      <c r="M127">
        <v>26</v>
      </c>
      <c r="N127" s="3">
        <f t="shared" si="26"/>
        <v>0.7339691750802004</v>
      </c>
      <c r="R127" s="3">
        <f t="shared" si="27"/>
        <v>-0.1343221790126526</v>
      </c>
    </row>
    <row r="128" spans="1:18" ht="12.75">
      <c r="A128">
        <f t="shared" si="24"/>
        <v>6</v>
      </c>
      <c r="B128">
        <v>31</v>
      </c>
      <c r="C128" s="3">
        <v>0.71</v>
      </c>
      <c r="G128" s="3">
        <f t="shared" si="23"/>
        <v>-0.14874165128092473</v>
      </c>
      <c r="L128">
        <f t="shared" si="25"/>
        <v>6</v>
      </c>
      <c r="M128">
        <v>31</v>
      </c>
      <c r="N128" s="3">
        <f t="shared" si="26"/>
        <v>1.2378743560016172</v>
      </c>
      <c r="R128" s="3">
        <f t="shared" si="27"/>
        <v>0.0926765661184026</v>
      </c>
    </row>
    <row r="129" spans="1:18" ht="12.75">
      <c r="A129">
        <f t="shared" si="24"/>
        <v>7</v>
      </c>
      <c r="B129">
        <v>36</v>
      </c>
      <c r="C129" s="3">
        <v>0.87</v>
      </c>
      <c r="G129" s="3">
        <f t="shared" si="23"/>
        <v>-0.060480747381381476</v>
      </c>
      <c r="L129">
        <f t="shared" si="25"/>
        <v>7</v>
      </c>
      <c r="M129">
        <v>36</v>
      </c>
      <c r="N129" s="3">
        <f t="shared" si="26"/>
        <v>2.0402208285265546</v>
      </c>
      <c r="R129" s="3">
        <f t="shared" si="27"/>
        <v>0.30967717694555646</v>
      </c>
    </row>
    <row r="130" spans="1:18" ht="12.75">
      <c r="A130">
        <f t="shared" si="24"/>
        <v>8</v>
      </c>
      <c r="B130">
        <v>33</v>
      </c>
      <c r="C130" s="3">
        <v>0.72</v>
      </c>
      <c r="G130" s="3">
        <f t="shared" si="23"/>
        <v>-0.14266750356873154</v>
      </c>
      <c r="L130">
        <f t="shared" si="25"/>
        <v>8</v>
      </c>
      <c r="M130">
        <v>33</v>
      </c>
      <c r="N130" s="3">
        <f t="shared" si="26"/>
        <v>1.2729656758128873</v>
      </c>
      <c r="R130" s="3">
        <f t="shared" si="27"/>
        <v>0.10481669351537554</v>
      </c>
    </row>
    <row r="131" spans="1:18" ht="12.75">
      <c r="A131">
        <f t="shared" si="24"/>
        <v>9</v>
      </c>
      <c r="B131">
        <v>26</v>
      </c>
      <c r="C131" s="3">
        <v>0.74</v>
      </c>
      <c r="G131" s="3">
        <f t="shared" si="23"/>
        <v>-0.13076828026902382</v>
      </c>
      <c r="L131">
        <f t="shared" si="25"/>
        <v>9</v>
      </c>
      <c r="M131">
        <v>26</v>
      </c>
      <c r="N131" s="3">
        <f t="shared" si="26"/>
        <v>1.3470736479666092</v>
      </c>
      <c r="R131" s="3">
        <f t="shared" si="27"/>
        <v>0.1293913403637707</v>
      </c>
    </row>
    <row r="132" spans="1:18" ht="12.75">
      <c r="A132">
        <f t="shared" si="24"/>
        <v>10</v>
      </c>
      <c r="B132">
        <v>28</v>
      </c>
      <c r="C132" s="3">
        <v>0.75</v>
      </c>
      <c r="G132" s="3">
        <f t="shared" si="23"/>
        <v>-0.12493873660829993</v>
      </c>
      <c r="L132">
        <f t="shared" si="25"/>
        <v>10</v>
      </c>
      <c r="M132">
        <v>28</v>
      </c>
      <c r="N132" s="3">
        <f t="shared" si="26"/>
        <v>1.3862943611198906</v>
      </c>
      <c r="R132" s="3">
        <f t="shared" si="27"/>
        <v>0.1418554567091196</v>
      </c>
    </row>
    <row r="133" spans="1:18" ht="12.75">
      <c r="A133">
        <f t="shared" si="24"/>
        <v>11</v>
      </c>
      <c r="B133">
        <v>27</v>
      </c>
      <c r="C133" s="3">
        <v>0.54</v>
      </c>
      <c r="G133" s="3">
        <f t="shared" si="23"/>
        <v>-0.2676062401770315</v>
      </c>
      <c r="L133">
        <f t="shared" si="25"/>
        <v>11</v>
      </c>
      <c r="M133">
        <v>27</v>
      </c>
      <c r="N133" s="3">
        <f t="shared" si="26"/>
        <v>0.7765287894989965</v>
      </c>
      <c r="R133" s="3">
        <f t="shared" si="27"/>
        <v>-0.1098424383400924</v>
      </c>
    </row>
    <row r="134" spans="1:18" ht="12.75">
      <c r="A134">
        <f t="shared" si="24"/>
        <v>12</v>
      </c>
      <c r="B134">
        <v>25</v>
      </c>
      <c r="C134" s="3">
        <v>0.82</v>
      </c>
      <c r="G134" s="3">
        <f t="shared" si="23"/>
        <v>-0.08618614761628333</v>
      </c>
      <c r="L134">
        <f t="shared" si="25"/>
        <v>12</v>
      </c>
      <c r="M134">
        <v>25</v>
      </c>
      <c r="N134" s="3">
        <f t="shared" si="26"/>
        <v>1.7147984280919264</v>
      </c>
      <c r="R134" s="3">
        <f t="shared" si="27"/>
        <v>0.23421307673309275</v>
      </c>
    </row>
    <row r="135" spans="1:18" ht="12.75">
      <c r="A135">
        <f t="shared" si="24"/>
        <v>13</v>
      </c>
      <c r="B135">
        <v>32</v>
      </c>
      <c r="C135" s="3">
        <v>0.9</v>
      </c>
      <c r="G135" s="3">
        <f t="shared" si="23"/>
        <v>-0.04575749056067511</v>
      </c>
      <c r="L135">
        <f t="shared" si="25"/>
        <v>13</v>
      </c>
      <c r="M135">
        <v>32</v>
      </c>
      <c r="N135" s="3">
        <f t="shared" si="26"/>
        <v>2.302585092994046</v>
      </c>
      <c r="R135" s="3">
        <f t="shared" si="27"/>
        <v>0.36221568869946325</v>
      </c>
    </row>
    <row r="136" spans="1:18" ht="12.75">
      <c r="A136">
        <f t="shared" si="24"/>
        <v>14</v>
      </c>
      <c r="B136">
        <v>42</v>
      </c>
      <c r="C136" s="3">
        <v>0.73</v>
      </c>
      <c r="G136" s="3">
        <f t="shared" si="23"/>
        <v>-0.1366771398795441</v>
      </c>
      <c r="L136">
        <f t="shared" si="25"/>
        <v>14</v>
      </c>
      <c r="M136">
        <v>42</v>
      </c>
      <c r="N136" s="3">
        <f t="shared" si="26"/>
        <v>1.3093333199837622</v>
      </c>
      <c r="R136" s="3">
        <f t="shared" si="27"/>
        <v>0.11705021996731295</v>
      </c>
    </row>
    <row r="137" spans="1:18" ht="12.75">
      <c r="A137">
        <f t="shared" si="24"/>
        <v>15</v>
      </c>
      <c r="B137">
        <v>40</v>
      </c>
      <c r="C137" s="3">
        <v>0.7</v>
      </c>
      <c r="G137" s="3">
        <f t="shared" si="23"/>
        <v>-0.15490195998574316</v>
      </c>
      <c r="L137">
        <f t="shared" si="25"/>
        <v>15</v>
      </c>
      <c r="M137">
        <v>40</v>
      </c>
      <c r="N137" s="3">
        <f t="shared" si="26"/>
        <v>1.203972804325936</v>
      </c>
      <c r="R137" s="3">
        <f t="shared" si="27"/>
        <v>0.08061667706751091</v>
      </c>
    </row>
    <row r="138" spans="1:18" ht="12.75">
      <c r="A138">
        <f t="shared" si="24"/>
        <v>16</v>
      </c>
      <c r="B138">
        <v>40</v>
      </c>
      <c r="C138" s="3">
        <v>0.765</v>
      </c>
      <c r="E138" t="s">
        <v>519</v>
      </c>
      <c r="G138" s="3">
        <f t="shared" si="23"/>
        <v>-0.11633856484638239</v>
      </c>
      <c r="L138">
        <f t="shared" si="25"/>
        <v>16</v>
      </c>
      <c r="M138">
        <v>40</v>
      </c>
      <c r="N138" s="3">
        <f t="shared" si="26"/>
        <v>1.448169764837978</v>
      </c>
      <c r="P138" t="s">
        <v>519</v>
      </c>
      <c r="R138" s="3">
        <f t="shared" si="27"/>
        <v>0.16081947595693463</v>
      </c>
    </row>
    <row r="139" spans="1:18" ht="12.75">
      <c r="A139">
        <f t="shared" si="24"/>
        <v>17</v>
      </c>
      <c r="B139">
        <v>28</v>
      </c>
      <c r="C139" s="3">
        <v>0.86</v>
      </c>
      <c r="E139">
        <f>COUNT(C123:C147)</f>
        <v>22</v>
      </c>
      <c r="G139" s="3">
        <f t="shared" si="23"/>
        <v>-0.06550154875643228</v>
      </c>
      <c r="L139">
        <f t="shared" si="25"/>
        <v>17</v>
      </c>
      <c r="M139">
        <v>28</v>
      </c>
      <c r="N139" s="3">
        <f t="shared" si="26"/>
        <v>1.9661128563728327</v>
      </c>
      <c r="P139">
        <f>COUNT(N123:N147)</f>
        <v>22</v>
      </c>
      <c r="R139" s="3">
        <f t="shared" si="27"/>
        <v>0.29360844304507566</v>
      </c>
    </row>
    <row r="140" spans="1:18" ht="12.75">
      <c r="A140">
        <f t="shared" si="24"/>
        <v>18</v>
      </c>
      <c r="B140">
        <v>36</v>
      </c>
      <c r="C140" s="3"/>
      <c r="E140" t="s">
        <v>598</v>
      </c>
      <c r="G140" s="3"/>
      <c r="L140">
        <f t="shared" si="25"/>
        <v>18</v>
      </c>
      <c r="M140">
        <v>36</v>
      </c>
      <c r="N140" s="3"/>
      <c r="P140" t="s">
        <v>598</v>
      </c>
      <c r="R140" s="3"/>
    </row>
    <row r="141" spans="1:18" ht="12.75">
      <c r="A141">
        <f t="shared" si="24"/>
        <v>19</v>
      </c>
      <c r="B141">
        <v>28</v>
      </c>
      <c r="C141" s="3"/>
      <c r="E141" s="3">
        <f>AVERAGE(C123:C147)</f>
        <v>0.7156818181818181</v>
      </c>
      <c r="G141" s="3"/>
      <c r="L141">
        <f t="shared" si="25"/>
        <v>19</v>
      </c>
      <c r="M141">
        <v>28</v>
      </c>
      <c r="N141" s="3"/>
      <c r="P141" s="3">
        <f>AVERAGE(N123:N147)</f>
        <v>1.3460295524536035</v>
      </c>
      <c r="R141" s="3"/>
    </row>
    <row r="142" spans="1:18" ht="12.75">
      <c r="A142">
        <f t="shared" si="24"/>
        <v>20</v>
      </c>
      <c r="B142">
        <v>28</v>
      </c>
      <c r="C142" s="3">
        <v>0.585</v>
      </c>
      <c r="E142" t="s">
        <v>431</v>
      </c>
      <c r="G142" s="3">
        <f t="shared" si="23"/>
        <v>-0.2328441339178196</v>
      </c>
      <c r="L142">
        <f t="shared" si="25"/>
        <v>20</v>
      </c>
      <c r="M142">
        <v>28</v>
      </c>
      <c r="N142" s="3">
        <f aca="true" t="shared" si="28" ref="N142:N147">-LN(1-C142)</f>
        <v>0.8794767587514387</v>
      </c>
      <c r="P142" t="s">
        <v>431</v>
      </c>
      <c r="R142" s="3">
        <f aca="true" t="shared" si="29" ref="R142:R147">LOG10(N142)</f>
        <v>-0.05577563281751332</v>
      </c>
    </row>
    <row r="143" spans="1:18" ht="12.75">
      <c r="A143">
        <f t="shared" si="24"/>
        <v>21</v>
      </c>
      <c r="B143">
        <v>35</v>
      </c>
      <c r="C143" s="3">
        <v>0.44</v>
      </c>
      <c r="E143" s="3">
        <f>STDEV(C123:C147)</f>
        <v>0.11840502980131822</v>
      </c>
      <c r="G143" s="3">
        <f t="shared" si="23"/>
        <v>-0.3565473235138126</v>
      </c>
      <c r="L143">
        <f t="shared" si="25"/>
        <v>21</v>
      </c>
      <c r="M143">
        <v>35</v>
      </c>
      <c r="N143" s="3">
        <f t="shared" si="28"/>
        <v>0.579818495252942</v>
      </c>
      <c r="P143" s="3">
        <f>STDEV(N123:N147)</f>
        <v>0.4442744643589891</v>
      </c>
      <c r="R143" s="3">
        <f t="shared" si="29"/>
        <v>-0.2367079354829482</v>
      </c>
    </row>
    <row r="144" spans="1:18" ht="12.75">
      <c r="A144">
        <f t="shared" si="24"/>
        <v>22</v>
      </c>
      <c r="B144">
        <v>33</v>
      </c>
      <c r="C144" s="3">
        <v>0.86</v>
      </c>
      <c r="E144" t="s">
        <v>126</v>
      </c>
      <c r="F144" s="89" t="s">
        <v>323</v>
      </c>
      <c r="G144" s="3">
        <f t="shared" si="23"/>
        <v>-0.06550154875643228</v>
      </c>
      <c r="L144">
        <f t="shared" si="25"/>
        <v>22</v>
      </c>
      <c r="M144">
        <v>33</v>
      </c>
      <c r="N144" s="3">
        <f t="shared" si="28"/>
        <v>1.9661128563728327</v>
      </c>
      <c r="P144" t="s">
        <v>126</v>
      </c>
      <c r="Q144" s="89" t="s">
        <v>323</v>
      </c>
      <c r="R144" s="3">
        <f t="shared" si="29"/>
        <v>0.29360844304507566</v>
      </c>
    </row>
    <row r="145" spans="1:18" ht="12.75">
      <c r="A145">
        <f t="shared" si="24"/>
        <v>23</v>
      </c>
      <c r="B145">
        <v>26</v>
      </c>
      <c r="C145" s="3">
        <v>0.64</v>
      </c>
      <c r="E145" s="3">
        <f>EXP(SQRT(LN(POWER(E143,2)/POWER(E141,2)+1)))</f>
        <v>1.178600881851742</v>
      </c>
      <c r="F145" s="90">
        <f>F147/E147</f>
        <v>1.089744542727632</v>
      </c>
      <c r="G145" s="3">
        <f t="shared" si="23"/>
        <v>-0.19382002601611284</v>
      </c>
      <c r="L145">
        <f t="shared" si="25"/>
        <v>23</v>
      </c>
      <c r="M145">
        <v>26</v>
      </c>
      <c r="N145" s="3">
        <f t="shared" si="28"/>
        <v>1.0216512475319814</v>
      </c>
      <c r="P145" s="3">
        <f>EXP(SQRT(LN(POWER(P143,2)/POWER(P141,2)+1)))</f>
        <v>1.3792888266720225</v>
      </c>
      <c r="Q145" s="90">
        <f>Q147/P147</f>
        <v>1.076437377076567</v>
      </c>
      <c r="R145" s="3">
        <f t="shared" si="29"/>
        <v>0.00930266965290335</v>
      </c>
    </row>
    <row r="146" spans="1:18" ht="12.75">
      <c r="A146">
        <f t="shared" si="24"/>
        <v>24</v>
      </c>
      <c r="B146">
        <v>35</v>
      </c>
      <c r="C146" s="3">
        <v>0.655</v>
      </c>
      <c r="E146" t="s">
        <v>384</v>
      </c>
      <c r="F146" t="s">
        <v>384</v>
      </c>
      <c r="G146" s="3">
        <f t="shared" si="23"/>
        <v>-0.1837587000082169</v>
      </c>
      <c r="L146">
        <f t="shared" si="25"/>
        <v>24</v>
      </c>
      <c r="M146">
        <v>35</v>
      </c>
      <c r="N146" s="3">
        <f t="shared" si="28"/>
        <v>1.0642108619507773</v>
      </c>
      <c r="P146" t="s">
        <v>384</v>
      </c>
      <c r="Q146" s="179" t="s">
        <v>384</v>
      </c>
      <c r="R146" s="3">
        <f t="shared" si="29"/>
        <v>0.02702768727166877</v>
      </c>
    </row>
    <row r="147" spans="1:18" ht="12.75">
      <c r="A147">
        <v>25</v>
      </c>
      <c r="B147">
        <v>24</v>
      </c>
      <c r="C147" s="3">
        <v>0.73</v>
      </c>
      <c r="E147" s="40">
        <f>LOG10(E145)</f>
        <v>0.07136676170669708</v>
      </c>
      <c r="F147" s="94">
        <f>STDEV(G123:G147)</f>
        <v>0.07777153910201648</v>
      </c>
      <c r="G147" s="3">
        <f t="shared" si="23"/>
        <v>-0.1366771398795441</v>
      </c>
      <c r="L147">
        <v>25</v>
      </c>
      <c r="M147">
        <v>24</v>
      </c>
      <c r="N147" s="3">
        <f t="shared" si="28"/>
        <v>1.3093333199837622</v>
      </c>
      <c r="P147" s="40">
        <f>LOG10(P145)</f>
        <v>0.13965521809439532</v>
      </c>
      <c r="Q147" s="178">
        <f>STDEV(R123:R147)</f>
        <v>0.1503300966605868</v>
      </c>
      <c r="R147" s="3">
        <f t="shared" si="29"/>
        <v>0.11705021996731295</v>
      </c>
    </row>
    <row r="148" spans="3:18" ht="12.75">
      <c r="C148" s="3"/>
      <c r="E148" s="40"/>
      <c r="F148" s="6"/>
      <c r="G148" s="3"/>
      <c r="N148" s="3"/>
      <c r="P148" s="40"/>
      <c r="Q148" s="6"/>
      <c r="R148" s="3"/>
    </row>
    <row r="149" spans="3:18" ht="12.75">
      <c r="C149" s="3"/>
      <c r="E149" s="40"/>
      <c r="F149" s="6"/>
      <c r="G149" s="3"/>
      <c r="N149" s="3"/>
      <c r="P149" s="40"/>
      <c r="Q149" s="6"/>
      <c r="R149" s="3"/>
    </row>
    <row r="150" spans="1:18" ht="15.75">
      <c r="A150" s="61" t="s">
        <v>231</v>
      </c>
      <c r="C150" s="3"/>
      <c r="E150" s="40"/>
      <c r="F150" s="6"/>
      <c r="G150" s="3"/>
      <c r="L150" s="61" t="s">
        <v>231</v>
      </c>
      <c r="N150" s="3"/>
      <c r="P150" s="40"/>
      <c r="Q150" s="6"/>
      <c r="R150" s="3"/>
    </row>
    <row r="151" spans="1:12" ht="12.75">
      <c r="A151" s="58" t="s">
        <v>421</v>
      </c>
      <c r="L151" s="58" t="s">
        <v>421</v>
      </c>
    </row>
    <row r="152" spans="1:12" ht="12.75">
      <c r="A152" s="59" t="s">
        <v>463</v>
      </c>
      <c r="L152" s="59" t="s">
        <v>463</v>
      </c>
    </row>
    <row r="153" spans="1:21" ht="12.75">
      <c r="A153" t="s">
        <v>127</v>
      </c>
      <c r="B153" t="s">
        <v>509</v>
      </c>
      <c r="C153" t="s">
        <v>414</v>
      </c>
      <c r="G153" t="s">
        <v>207</v>
      </c>
      <c r="H153" t="s">
        <v>468</v>
      </c>
      <c r="I153" t="s">
        <v>469</v>
      </c>
      <c r="J153" t="s">
        <v>224</v>
      </c>
      <c r="L153" t="s">
        <v>127</v>
      </c>
      <c r="M153" t="s">
        <v>509</v>
      </c>
      <c r="N153" t="s">
        <v>414</v>
      </c>
      <c r="R153" t="s">
        <v>207</v>
      </c>
      <c r="S153" t="s">
        <v>468</v>
      </c>
      <c r="T153" t="s">
        <v>469</v>
      </c>
      <c r="U153" t="s">
        <v>224</v>
      </c>
    </row>
    <row r="154" spans="1:21" ht="12.75">
      <c r="A154">
        <v>1</v>
      </c>
      <c r="B154">
        <v>47</v>
      </c>
      <c r="C154" s="3">
        <v>0.295</v>
      </c>
      <c r="G154" s="3">
        <f>LOG10(C154)</f>
        <v>-0.530177984021837</v>
      </c>
      <c r="H154">
        <v>8</v>
      </c>
      <c r="I154">
        <v>1.2</v>
      </c>
      <c r="J154" s="5">
        <f>I154*H154</f>
        <v>9.6</v>
      </c>
      <c r="L154">
        <v>1</v>
      </c>
      <c r="M154">
        <v>47</v>
      </c>
      <c r="N154" s="3">
        <f aca="true" t="shared" si="30" ref="N154:N174">-LN(1-C154)</f>
        <v>0.34955747616986826</v>
      </c>
      <c r="R154" s="3">
        <f>LOG10(N154)</f>
        <v>-0.4564814049507989</v>
      </c>
      <c r="S154">
        <v>8</v>
      </c>
      <c r="T154">
        <v>1.2</v>
      </c>
      <c r="U154">
        <f>T154*S154</f>
        <v>9.6</v>
      </c>
    </row>
    <row r="155" spans="1:21" ht="12.75">
      <c r="A155">
        <f>A154+1</f>
        <v>2</v>
      </c>
      <c r="B155">
        <v>43</v>
      </c>
      <c r="C155" s="3">
        <v>0.18</v>
      </c>
      <c r="G155" s="3">
        <f>LOG10(C155)</f>
        <v>-0.7447274948966939</v>
      </c>
      <c r="H155">
        <v>12</v>
      </c>
      <c r="I155">
        <v>1</v>
      </c>
      <c r="J155" s="5">
        <f>I155*H155</f>
        <v>12</v>
      </c>
      <c r="L155">
        <f>L154+1</f>
        <v>2</v>
      </c>
      <c r="M155">
        <v>43</v>
      </c>
      <c r="N155" s="3">
        <f t="shared" si="30"/>
        <v>0.19845093872383818</v>
      </c>
      <c r="R155" s="3">
        <f>LOG10(N155)</f>
        <v>-0.7023468424276733</v>
      </c>
      <c r="S155">
        <v>12</v>
      </c>
      <c r="T155">
        <v>1</v>
      </c>
      <c r="U155" s="5">
        <f aca="true" t="shared" si="31" ref="U155:U174">T155*S155</f>
        <v>12</v>
      </c>
    </row>
    <row r="156" spans="1:21" ht="12.75">
      <c r="A156">
        <f aca="true" t="shared" si="32" ref="A156:A173">A155+1</f>
        <v>3</v>
      </c>
      <c r="B156">
        <v>36</v>
      </c>
      <c r="C156" s="3">
        <v>0.23</v>
      </c>
      <c r="G156" s="3">
        <f>LOG10(C156)</f>
        <v>-0.6382721639824072</v>
      </c>
      <c r="H156">
        <v>19</v>
      </c>
      <c r="I156">
        <v>0.6</v>
      </c>
      <c r="J156" s="5">
        <f>I156*H156</f>
        <v>11.4</v>
      </c>
      <c r="L156">
        <f aca="true" t="shared" si="33" ref="L156:L166">L155+1</f>
        <v>3</v>
      </c>
      <c r="M156">
        <v>36</v>
      </c>
      <c r="N156" s="3">
        <f t="shared" si="30"/>
        <v>0.2613647641344075</v>
      </c>
      <c r="R156" s="3">
        <f>LOG10(N156)</f>
        <v>-0.5827529621780622</v>
      </c>
      <c r="S156">
        <v>19</v>
      </c>
      <c r="T156">
        <v>0.6</v>
      </c>
      <c r="U156" s="5">
        <f t="shared" si="31"/>
        <v>11.4</v>
      </c>
    </row>
    <row r="157" spans="1:21" ht="12.75">
      <c r="A157">
        <f t="shared" si="32"/>
        <v>4</v>
      </c>
      <c r="B157">
        <v>35</v>
      </c>
      <c r="C157" s="3">
        <v>0.295</v>
      </c>
      <c r="G157" s="3">
        <f aca="true" t="shared" si="34" ref="G157:G169">LOG10(C157)</f>
        <v>-0.530177984021837</v>
      </c>
      <c r="H157">
        <v>11</v>
      </c>
      <c r="I157">
        <v>0.7</v>
      </c>
      <c r="J157" s="5">
        <f>I157*H157</f>
        <v>7.699999999999999</v>
      </c>
      <c r="L157">
        <f t="shared" si="33"/>
        <v>4</v>
      </c>
      <c r="M157">
        <v>35</v>
      </c>
      <c r="N157" s="3">
        <f t="shared" si="30"/>
        <v>0.34955747616986826</v>
      </c>
      <c r="R157" s="3">
        <f aca="true" t="shared" si="35" ref="R157:R169">LOG10(N157)</f>
        <v>-0.4564814049507989</v>
      </c>
      <c r="S157">
        <v>11</v>
      </c>
      <c r="T157">
        <v>0.7</v>
      </c>
      <c r="U157" s="5">
        <f t="shared" si="31"/>
        <v>7.699999999999999</v>
      </c>
    </row>
    <row r="158" spans="1:21" ht="12.75">
      <c r="A158">
        <f t="shared" si="32"/>
        <v>5</v>
      </c>
      <c r="B158">
        <v>26</v>
      </c>
      <c r="C158" s="3">
        <v>0.26</v>
      </c>
      <c r="G158" s="3">
        <f t="shared" si="34"/>
        <v>-0.585026652029182</v>
      </c>
      <c r="H158">
        <v>12</v>
      </c>
      <c r="I158">
        <v>0.7</v>
      </c>
      <c r="J158" s="5">
        <f aca="true" t="shared" si="36" ref="J158:J174">I158*H158</f>
        <v>8.399999999999999</v>
      </c>
      <c r="L158">
        <f t="shared" si="33"/>
        <v>5</v>
      </c>
      <c r="M158">
        <v>26</v>
      </c>
      <c r="N158" s="3">
        <f t="shared" si="30"/>
        <v>0.30110509278392167</v>
      </c>
      <c r="R158" s="3">
        <f t="shared" si="35"/>
        <v>-0.5212818989234742</v>
      </c>
      <c r="S158">
        <v>12</v>
      </c>
      <c r="T158">
        <v>0.7</v>
      </c>
      <c r="U158" s="5">
        <f t="shared" si="31"/>
        <v>8.399999999999999</v>
      </c>
    </row>
    <row r="159" spans="1:21" ht="12.75">
      <c r="A159">
        <f t="shared" si="32"/>
        <v>6</v>
      </c>
      <c r="B159">
        <v>31</v>
      </c>
      <c r="C159" s="3">
        <v>0.19</v>
      </c>
      <c r="G159" s="3">
        <f t="shared" si="34"/>
        <v>-0.721246399047171</v>
      </c>
      <c r="H159">
        <v>14</v>
      </c>
      <c r="I159">
        <v>0.8</v>
      </c>
      <c r="J159" s="5">
        <f t="shared" si="36"/>
        <v>11.200000000000001</v>
      </c>
      <c r="L159">
        <f t="shared" si="33"/>
        <v>6</v>
      </c>
      <c r="M159">
        <v>31</v>
      </c>
      <c r="N159" s="3">
        <f t="shared" si="30"/>
        <v>0.21072103131565253</v>
      </c>
      <c r="R159" s="3">
        <f t="shared" si="35"/>
        <v>-0.6762921168431828</v>
      </c>
      <c r="S159">
        <v>14</v>
      </c>
      <c r="T159">
        <v>0.8</v>
      </c>
      <c r="U159" s="5">
        <f t="shared" si="31"/>
        <v>11.200000000000001</v>
      </c>
    </row>
    <row r="160" spans="1:21" ht="12.75">
      <c r="A160">
        <f t="shared" si="32"/>
        <v>7</v>
      </c>
      <c r="B160">
        <v>36</v>
      </c>
      <c r="C160" s="3">
        <v>0.225</v>
      </c>
      <c r="G160" s="3">
        <f t="shared" si="34"/>
        <v>-0.6478174818886375</v>
      </c>
      <c r="H160">
        <v>14</v>
      </c>
      <c r="I160">
        <v>0.6</v>
      </c>
      <c r="J160" s="5">
        <f t="shared" si="36"/>
        <v>8.4</v>
      </c>
      <c r="L160">
        <f t="shared" si="33"/>
        <v>7</v>
      </c>
      <c r="M160">
        <v>36</v>
      </c>
      <c r="N160" s="3">
        <f t="shared" si="30"/>
        <v>0.25489224962879004</v>
      </c>
      <c r="R160" s="3">
        <f t="shared" si="35"/>
        <v>-0.5936433696881349</v>
      </c>
      <c r="S160">
        <v>14</v>
      </c>
      <c r="T160">
        <v>0.6</v>
      </c>
      <c r="U160" s="5">
        <f t="shared" si="31"/>
        <v>8.4</v>
      </c>
    </row>
    <row r="161" spans="1:21" ht="12.75">
      <c r="A161">
        <f t="shared" si="32"/>
        <v>8</v>
      </c>
      <c r="B161">
        <v>33</v>
      </c>
      <c r="C161" s="3">
        <v>0.19</v>
      </c>
      <c r="G161" s="3">
        <f t="shared" si="34"/>
        <v>-0.721246399047171</v>
      </c>
      <c r="H161">
        <v>9</v>
      </c>
      <c r="I161">
        <v>0.75</v>
      </c>
      <c r="J161" s="5">
        <f t="shared" si="36"/>
        <v>6.75</v>
      </c>
      <c r="L161">
        <f t="shared" si="33"/>
        <v>8</v>
      </c>
      <c r="M161">
        <v>33</v>
      </c>
      <c r="N161" s="3">
        <f t="shared" si="30"/>
        <v>0.21072103131565253</v>
      </c>
      <c r="R161" s="3">
        <f t="shared" si="35"/>
        <v>-0.6762921168431828</v>
      </c>
      <c r="S161">
        <v>9</v>
      </c>
      <c r="T161">
        <v>0.75</v>
      </c>
      <c r="U161" s="5">
        <f t="shared" si="31"/>
        <v>6.75</v>
      </c>
    </row>
    <row r="162" spans="1:21" ht="12.75">
      <c r="A162">
        <f t="shared" si="32"/>
        <v>9</v>
      </c>
      <c r="B162">
        <v>26</v>
      </c>
      <c r="C162" s="3">
        <v>0.265</v>
      </c>
      <c r="G162" s="3">
        <f t="shared" si="34"/>
        <v>-0.5767541260631921</v>
      </c>
      <c r="H162">
        <v>8</v>
      </c>
      <c r="I162">
        <v>1.2</v>
      </c>
      <c r="J162" s="5">
        <f t="shared" si="36"/>
        <v>9.6</v>
      </c>
      <c r="L162">
        <f t="shared" si="33"/>
        <v>9</v>
      </c>
      <c r="M162">
        <v>26</v>
      </c>
      <c r="N162" s="3">
        <f t="shared" si="30"/>
        <v>0.3078847797693004</v>
      </c>
      <c r="R162" s="3">
        <f t="shared" si="35"/>
        <v>-0.5116117798385592</v>
      </c>
      <c r="S162">
        <v>8</v>
      </c>
      <c r="T162">
        <v>1.2</v>
      </c>
      <c r="U162" s="5">
        <f t="shared" si="31"/>
        <v>9.6</v>
      </c>
    </row>
    <row r="163" spans="1:21" ht="12.75">
      <c r="A163">
        <f t="shared" si="32"/>
        <v>10</v>
      </c>
      <c r="B163">
        <v>28</v>
      </c>
      <c r="C163" s="3">
        <v>0.3</v>
      </c>
      <c r="G163" s="3">
        <f t="shared" si="34"/>
        <v>-0.5228787452803376</v>
      </c>
      <c r="H163">
        <v>19</v>
      </c>
      <c r="I163">
        <v>0.4</v>
      </c>
      <c r="J163" s="5">
        <f t="shared" si="36"/>
        <v>7.6000000000000005</v>
      </c>
      <c r="L163">
        <f t="shared" si="33"/>
        <v>10</v>
      </c>
      <c r="M163">
        <v>28</v>
      </c>
      <c r="N163" s="3">
        <f t="shared" si="30"/>
        <v>0.3566749439387324</v>
      </c>
      <c r="R163" s="3">
        <f t="shared" si="35"/>
        <v>-0.44772739834696257</v>
      </c>
      <c r="S163">
        <v>19</v>
      </c>
      <c r="T163">
        <v>0.4</v>
      </c>
      <c r="U163" s="5">
        <f t="shared" si="31"/>
        <v>7.6000000000000005</v>
      </c>
    </row>
    <row r="164" spans="1:21" ht="12.75">
      <c r="A164">
        <f t="shared" si="32"/>
        <v>11</v>
      </c>
      <c r="B164">
        <v>27</v>
      </c>
      <c r="C164" s="3">
        <v>0.215</v>
      </c>
      <c r="G164" s="3">
        <f t="shared" si="34"/>
        <v>-0.6675615400843947</v>
      </c>
      <c r="H164">
        <v>12</v>
      </c>
      <c r="I164">
        <v>1</v>
      </c>
      <c r="J164" s="5">
        <f t="shared" si="36"/>
        <v>12</v>
      </c>
      <c r="L164">
        <f t="shared" si="33"/>
        <v>11</v>
      </c>
      <c r="M164">
        <v>27</v>
      </c>
      <c r="N164" s="3">
        <f t="shared" si="30"/>
        <v>0.24207156119972859</v>
      </c>
      <c r="R164" s="3">
        <f t="shared" si="35"/>
        <v>-0.6160562288957069</v>
      </c>
      <c r="S164">
        <v>12</v>
      </c>
      <c r="T164">
        <v>1</v>
      </c>
      <c r="U164" s="5">
        <f t="shared" si="31"/>
        <v>12</v>
      </c>
    </row>
    <row r="165" spans="1:21" ht="12.75">
      <c r="A165">
        <f t="shared" si="32"/>
        <v>12</v>
      </c>
      <c r="B165">
        <v>25</v>
      </c>
      <c r="C165" s="3">
        <v>0.28</v>
      </c>
      <c r="E165" t="s">
        <v>519</v>
      </c>
      <c r="G165" s="3">
        <f t="shared" si="34"/>
        <v>-0.5528419686577807</v>
      </c>
      <c r="H165">
        <v>16</v>
      </c>
      <c r="I165">
        <v>0.5</v>
      </c>
      <c r="J165" s="5">
        <f t="shared" si="36"/>
        <v>8</v>
      </c>
      <c r="L165">
        <f t="shared" si="33"/>
        <v>12</v>
      </c>
      <c r="M165">
        <v>25</v>
      </c>
      <c r="N165" s="3">
        <f t="shared" si="30"/>
        <v>0.32850406697203605</v>
      </c>
      <c r="P165" t="s">
        <v>519</v>
      </c>
      <c r="R165" s="3">
        <f t="shared" si="35"/>
        <v>-0.4834592493840182</v>
      </c>
      <c r="S165">
        <v>16</v>
      </c>
      <c r="T165">
        <v>0.5</v>
      </c>
      <c r="U165" s="5">
        <f t="shared" si="31"/>
        <v>8</v>
      </c>
    </row>
    <row r="166" spans="1:21" ht="12.75">
      <c r="A166">
        <f t="shared" si="32"/>
        <v>13</v>
      </c>
      <c r="B166">
        <v>32</v>
      </c>
      <c r="C166" s="3">
        <v>0.205</v>
      </c>
      <c r="E166">
        <f>COUNT(C154:C174)</f>
        <v>21</v>
      </c>
      <c r="G166" s="3">
        <f t="shared" si="34"/>
        <v>-0.6882461389442458</v>
      </c>
      <c r="H166">
        <v>16</v>
      </c>
      <c r="I166">
        <v>0.8</v>
      </c>
      <c r="J166" s="5">
        <f t="shared" si="36"/>
        <v>12.8</v>
      </c>
      <c r="L166">
        <f t="shared" si="33"/>
        <v>13</v>
      </c>
      <c r="M166">
        <v>32</v>
      </c>
      <c r="N166" s="3">
        <f t="shared" si="30"/>
        <v>0.22941316432780512</v>
      </c>
      <c r="P166">
        <f>COUNT(N154:N174)</f>
        <v>21</v>
      </c>
      <c r="R166" s="3">
        <f t="shared" si="35"/>
        <v>-0.6393816647656718</v>
      </c>
      <c r="S166">
        <v>16</v>
      </c>
      <c r="T166">
        <v>0.8</v>
      </c>
      <c r="U166" s="5">
        <f t="shared" si="31"/>
        <v>12.8</v>
      </c>
    </row>
    <row r="167" spans="1:21" ht="12.75">
      <c r="A167">
        <v>15</v>
      </c>
      <c r="B167">
        <v>40</v>
      </c>
      <c r="C167" s="3">
        <v>0.24</v>
      </c>
      <c r="E167" t="s">
        <v>598</v>
      </c>
      <c r="G167" s="3">
        <f t="shared" si="34"/>
        <v>-0.619788758288394</v>
      </c>
      <c r="H167">
        <v>12</v>
      </c>
      <c r="I167">
        <v>1</v>
      </c>
      <c r="J167" s="5">
        <f t="shared" si="36"/>
        <v>12</v>
      </c>
      <c r="L167">
        <v>15</v>
      </c>
      <c r="M167">
        <v>40</v>
      </c>
      <c r="N167" s="3">
        <f t="shared" si="30"/>
        <v>0.27443684570176025</v>
      </c>
      <c r="P167" t="s">
        <v>598</v>
      </c>
      <c r="R167" s="3">
        <f t="shared" si="35"/>
        <v>-0.5615575809729126</v>
      </c>
      <c r="S167">
        <v>12</v>
      </c>
      <c r="T167">
        <v>1</v>
      </c>
      <c r="U167" s="5">
        <f t="shared" si="31"/>
        <v>12</v>
      </c>
    </row>
    <row r="168" spans="1:21" ht="12.75">
      <c r="A168">
        <f t="shared" si="32"/>
        <v>16</v>
      </c>
      <c r="B168">
        <v>40</v>
      </c>
      <c r="C168" s="3">
        <v>0.19</v>
      </c>
      <c r="E168" s="3">
        <f>AVERAGE(C154:C174)</f>
        <v>0.2342857142857143</v>
      </c>
      <c r="G168" s="3">
        <f t="shared" si="34"/>
        <v>-0.721246399047171</v>
      </c>
      <c r="H168">
        <v>15</v>
      </c>
      <c r="I168">
        <v>0.4</v>
      </c>
      <c r="J168" s="5">
        <f t="shared" si="36"/>
        <v>6</v>
      </c>
      <c r="L168">
        <f>L167+1</f>
        <v>16</v>
      </c>
      <c r="M168">
        <v>40</v>
      </c>
      <c r="N168" s="3">
        <f t="shared" si="30"/>
        <v>0.21072103131565253</v>
      </c>
      <c r="P168" s="3">
        <f>AVERAGE(N154:N174)</f>
        <v>0.26972367200468855</v>
      </c>
      <c r="R168" s="3">
        <f t="shared" si="35"/>
        <v>-0.6762921168431828</v>
      </c>
      <c r="S168">
        <v>15</v>
      </c>
      <c r="T168">
        <v>0.4</v>
      </c>
      <c r="U168" s="5">
        <f t="shared" si="31"/>
        <v>6</v>
      </c>
    </row>
    <row r="169" spans="1:21" ht="12.75">
      <c r="A169">
        <f t="shared" si="32"/>
        <v>17</v>
      </c>
      <c r="B169">
        <v>28</v>
      </c>
      <c r="C169" s="3">
        <v>0.34</v>
      </c>
      <c r="E169" t="s">
        <v>431</v>
      </c>
      <c r="G169" s="3">
        <f t="shared" si="34"/>
        <v>-0.46852108295774486</v>
      </c>
      <c r="H169">
        <v>12</v>
      </c>
      <c r="I169">
        <v>1</v>
      </c>
      <c r="J169" s="5">
        <f t="shared" si="36"/>
        <v>12</v>
      </c>
      <c r="L169">
        <f>L168+1</f>
        <v>17</v>
      </c>
      <c r="M169">
        <v>28</v>
      </c>
      <c r="N169" s="3">
        <f t="shared" si="30"/>
        <v>0.4155154439616659</v>
      </c>
      <c r="P169" t="s">
        <v>431</v>
      </c>
      <c r="R169" s="3">
        <f t="shared" si="35"/>
        <v>-0.38141282963515083</v>
      </c>
      <c r="S169">
        <v>12</v>
      </c>
      <c r="T169">
        <v>1</v>
      </c>
      <c r="U169" s="5">
        <f t="shared" si="31"/>
        <v>12</v>
      </c>
    </row>
    <row r="170" spans="1:21" ht="12.75">
      <c r="A170">
        <v>20</v>
      </c>
      <c r="B170">
        <v>28</v>
      </c>
      <c r="C170" s="3">
        <v>0.15</v>
      </c>
      <c r="E170" s="3">
        <f>STDEV(C154:C174)</f>
        <v>0.05782053515589665</v>
      </c>
      <c r="G170" s="3">
        <f>LOG10(C170)</f>
        <v>-0.8239087409443188</v>
      </c>
      <c r="H170">
        <v>14</v>
      </c>
      <c r="I170">
        <v>0.75</v>
      </c>
      <c r="J170" s="5">
        <f t="shared" si="36"/>
        <v>10.5</v>
      </c>
      <c r="L170">
        <v>20</v>
      </c>
      <c r="M170">
        <v>28</v>
      </c>
      <c r="N170" s="3">
        <f t="shared" si="30"/>
        <v>0.1625189294977749</v>
      </c>
      <c r="P170" s="3">
        <f>STDEV(N154:N174)</f>
        <v>0.07682311693777906</v>
      </c>
      <c r="R170" s="3">
        <f>LOG10(N170)</f>
        <v>-0.7890960470073316</v>
      </c>
      <c r="S170">
        <v>14</v>
      </c>
      <c r="T170">
        <v>0.75</v>
      </c>
      <c r="U170" s="5">
        <f t="shared" si="31"/>
        <v>10.5</v>
      </c>
    </row>
    <row r="171" spans="1:21" ht="12.75">
      <c r="A171">
        <f t="shared" si="32"/>
        <v>21</v>
      </c>
      <c r="B171">
        <v>35</v>
      </c>
      <c r="C171" s="3">
        <v>0.15</v>
      </c>
      <c r="E171" t="s">
        <v>126</v>
      </c>
      <c r="F171" s="89" t="s">
        <v>323</v>
      </c>
      <c r="G171" s="3">
        <f>LOG10(C171)</f>
        <v>-0.8239087409443188</v>
      </c>
      <c r="H171">
        <v>15</v>
      </c>
      <c r="I171">
        <v>0.6</v>
      </c>
      <c r="J171" s="5">
        <f t="shared" si="36"/>
        <v>9</v>
      </c>
      <c r="L171">
        <f>L170+1</f>
        <v>21</v>
      </c>
      <c r="M171">
        <v>35</v>
      </c>
      <c r="N171" s="3">
        <f t="shared" si="30"/>
        <v>0.1625189294977749</v>
      </c>
      <c r="P171" t="s">
        <v>126</v>
      </c>
      <c r="Q171" s="89" t="s">
        <v>323</v>
      </c>
      <c r="R171" s="3">
        <f>LOG10(N171)</f>
        <v>-0.7890960470073316</v>
      </c>
      <c r="S171">
        <v>15</v>
      </c>
      <c r="T171">
        <v>0.6</v>
      </c>
      <c r="U171" s="5">
        <f t="shared" si="31"/>
        <v>9</v>
      </c>
    </row>
    <row r="172" spans="1:21" ht="12.75">
      <c r="A172">
        <v>23</v>
      </c>
      <c r="B172">
        <v>26</v>
      </c>
      <c r="C172" s="3">
        <v>0.17</v>
      </c>
      <c r="E172" s="3">
        <f>EXP(SQRT(LN(POWER(E170,2)/POWER(E168,2)+1)))</f>
        <v>1.2752677462424982</v>
      </c>
      <c r="F172" s="90">
        <f>F174/E174</f>
        <v>1.0183240621578245</v>
      </c>
      <c r="G172" s="3">
        <f>LOG10(C172)</f>
        <v>-0.769551078621726</v>
      </c>
      <c r="H172">
        <v>14</v>
      </c>
      <c r="I172">
        <v>0.65</v>
      </c>
      <c r="J172" s="5">
        <f t="shared" si="36"/>
        <v>9.1</v>
      </c>
      <c r="L172">
        <v>23</v>
      </c>
      <c r="M172">
        <v>26</v>
      </c>
      <c r="N172" s="3">
        <f t="shared" si="30"/>
        <v>0.18632957819149348</v>
      </c>
      <c r="P172" s="3">
        <f>EXP(SQRT(LN(POWER(P170,2)/POWER(P168,2)+1)))</f>
        <v>1.3221852991872796</v>
      </c>
      <c r="Q172" s="90">
        <f>Q174/P174</f>
        <v>1.0163079230212038</v>
      </c>
      <c r="R172" s="3">
        <f>LOG10(N172)</f>
        <v>-0.7297181991792839</v>
      </c>
      <c r="S172">
        <v>14</v>
      </c>
      <c r="T172">
        <v>0.65</v>
      </c>
      <c r="U172" s="5">
        <f t="shared" si="31"/>
        <v>9.1</v>
      </c>
    </row>
    <row r="173" spans="1:21" ht="12.75">
      <c r="A173">
        <f t="shared" si="32"/>
        <v>24</v>
      </c>
      <c r="B173">
        <v>35</v>
      </c>
      <c r="C173" s="3">
        <v>0.34</v>
      </c>
      <c r="E173" t="s">
        <v>384</v>
      </c>
      <c r="F173" t="s">
        <v>384</v>
      </c>
      <c r="G173" s="3">
        <f>LOG10(C173)</f>
        <v>-0.46852108295774486</v>
      </c>
      <c r="H173">
        <v>12</v>
      </c>
      <c r="I173">
        <v>0.8</v>
      </c>
      <c r="J173" s="5">
        <f t="shared" si="36"/>
        <v>9.600000000000001</v>
      </c>
      <c r="L173">
        <f>L172+1</f>
        <v>24</v>
      </c>
      <c r="M173">
        <v>35</v>
      </c>
      <c r="N173" s="3">
        <f t="shared" si="30"/>
        <v>0.4155154439616659</v>
      </c>
      <c r="P173" t="s">
        <v>384</v>
      </c>
      <c r="Q173" t="s">
        <v>384</v>
      </c>
      <c r="R173" s="3">
        <f>LOG10(N173)</f>
        <v>-0.38141282963515083</v>
      </c>
      <c r="S173">
        <v>12</v>
      </c>
      <c r="T173">
        <v>0.8</v>
      </c>
      <c r="U173" s="5">
        <f t="shared" si="31"/>
        <v>9.600000000000001</v>
      </c>
    </row>
    <row r="174" spans="1:21" ht="12.75">
      <c r="A174">
        <v>25</v>
      </c>
      <c r="B174">
        <v>24</v>
      </c>
      <c r="C174" s="3">
        <v>0.21</v>
      </c>
      <c r="E174" s="40">
        <f>LOG10(E172)</f>
        <v>0.10560137575669748</v>
      </c>
      <c r="F174" s="94">
        <f>STDEV(G154:G174)</f>
        <v>0.10753642193001497</v>
      </c>
      <c r="G174" s="3">
        <f>LOG10(C174)</f>
        <v>-0.6777807052660807</v>
      </c>
      <c r="H174">
        <v>14</v>
      </c>
      <c r="I174">
        <v>0.5</v>
      </c>
      <c r="J174" s="5">
        <f t="shared" si="36"/>
        <v>7</v>
      </c>
      <c r="L174">
        <v>25</v>
      </c>
      <c r="M174">
        <v>24</v>
      </c>
      <c r="N174" s="3">
        <f t="shared" si="30"/>
        <v>0.23572233352106983</v>
      </c>
      <c r="P174" s="40">
        <f>LOG10(P172)</f>
        <v>0.12129232411723362</v>
      </c>
      <c r="Q174" s="178">
        <f>STDEV(R154:R174)</f>
        <v>0.12327035000200037</v>
      </c>
      <c r="R174" s="3">
        <f>LOG10(N174)</f>
        <v>-0.6275992682798079</v>
      </c>
      <c r="S174">
        <v>14</v>
      </c>
      <c r="T174">
        <v>0.5</v>
      </c>
      <c r="U174" s="5">
        <f t="shared" si="31"/>
        <v>7</v>
      </c>
    </row>
    <row r="176" spans="1:12" ht="12.75">
      <c r="A176" s="58" t="s">
        <v>421</v>
      </c>
      <c r="L176" s="58" t="s">
        <v>421</v>
      </c>
    </row>
    <row r="177" spans="1:12" ht="12.75">
      <c r="A177" s="59" t="s">
        <v>464</v>
      </c>
      <c r="L177" s="59" t="s">
        <v>464</v>
      </c>
    </row>
    <row r="178" spans="1:21" ht="12.75">
      <c r="A178" t="s">
        <v>127</v>
      </c>
      <c r="B178" t="s">
        <v>509</v>
      </c>
      <c r="C178" t="s">
        <v>414</v>
      </c>
      <c r="G178" t="s">
        <v>207</v>
      </c>
      <c r="H178" t="s">
        <v>468</v>
      </c>
      <c r="I178" t="s">
        <v>469</v>
      </c>
      <c r="J178" t="s">
        <v>224</v>
      </c>
      <c r="L178" t="s">
        <v>127</v>
      </c>
      <c r="M178" t="s">
        <v>509</v>
      </c>
      <c r="N178" t="s">
        <v>414</v>
      </c>
      <c r="R178" t="s">
        <v>207</v>
      </c>
      <c r="S178" t="s">
        <v>468</v>
      </c>
      <c r="T178" t="s">
        <v>469</v>
      </c>
      <c r="U178" t="s">
        <v>224</v>
      </c>
    </row>
    <row r="179" spans="1:21" ht="12.75">
      <c r="A179">
        <v>1</v>
      </c>
      <c r="B179">
        <v>47</v>
      </c>
      <c r="C179" s="3">
        <v>0.24</v>
      </c>
      <c r="G179" s="3">
        <f>LOG10(C179)</f>
        <v>-0.619788758288394</v>
      </c>
      <c r="H179">
        <v>8</v>
      </c>
      <c r="I179">
        <v>0.85</v>
      </c>
      <c r="J179" s="5">
        <f aca="true" t="shared" si="37" ref="J179:J199">I179*H179</f>
        <v>6.8</v>
      </c>
      <c r="L179">
        <v>1</v>
      </c>
      <c r="M179">
        <v>47</v>
      </c>
      <c r="N179" s="3">
        <f aca="true" t="shared" si="38" ref="N179:N199">-LN(1-C179)</f>
        <v>0.27443684570176025</v>
      </c>
      <c r="R179" s="3">
        <f>LOG10(N179)</f>
        <v>-0.5615575809729126</v>
      </c>
      <c r="S179">
        <v>8</v>
      </c>
      <c r="T179">
        <v>0.85</v>
      </c>
      <c r="U179" s="5">
        <f>T179*S179</f>
        <v>6.8</v>
      </c>
    </row>
    <row r="180" spans="1:21" ht="12.75">
      <c r="A180">
        <f>A179+1</f>
        <v>2</v>
      </c>
      <c r="B180">
        <v>43</v>
      </c>
      <c r="C180" s="3">
        <v>0.175</v>
      </c>
      <c r="G180" s="3">
        <f>LOG10(C180)</f>
        <v>-0.7569619513137056</v>
      </c>
      <c r="H180">
        <v>14</v>
      </c>
      <c r="I180">
        <v>0.85</v>
      </c>
      <c r="J180" s="5">
        <f t="shared" si="37"/>
        <v>11.9</v>
      </c>
      <c r="L180">
        <f>L179+1</f>
        <v>2</v>
      </c>
      <c r="M180">
        <v>43</v>
      </c>
      <c r="N180" s="3">
        <f t="shared" si="38"/>
        <v>0.1923718926474561</v>
      </c>
      <c r="R180" s="3">
        <f>LOG10(N180)</f>
        <v>-0.715858382193407</v>
      </c>
      <c r="S180">
        <v>14</v>
      </c>
      <c r="T180">
        <v>0.85</v>
      </c>
      <c r="U180" s="5">
        <f aca="true" t="shared" si="39" ref="U180:U199">T180*S180</f>
        <v>11.9</v>
      </c>
    </row>
    <row r="181" spans="1:21" ht="12.75">
      <c r="A181">
        <f aca="true" t="shared" si="40" ref="A181:A191">A180+1</f>
        <v>3</v>
      </c>
      <c r="B181">
        <v>36</v>
      </c>
      <c r="C181" s="3">
        <v>0.17</v>
      </c>
      <c r="G181" s="3">
        <f>LOG10(C181)</f>
        <v>-0.769551078621726</v>
      </c>
      <c r="H181">
        <v>14</v>
      </c>
      <c r="I181">
        <v>0.6</v>
      </c>
      <c r="J181" s="5">
        <f t="shared" si="37"/>
        <v>8.4</v>
      </c>
      <c r="L181">
        <f aca="true" t="shared" si="41" ref="L181:L191">L180+1</f>
        <v>3</v>
      </c>
      <c r="M181">
        <v>36</v>
      </c>
      <c r="N181" s="3">
        <f t="shared" si="38"/>
        <v>0.18632957819149348</v>
      </c>
      <c r="R181" s="3">
        <f>LOG10(N181)</f>
        <v>-0.7297181991792839</v>
      </c>
      <c r="S181">
        <v>14</v>
      </c>
      <c r="T181">
        <v>0.6</v>
      </c>
      <c r="U181" s="5">
        <f t="shared" si="39"/>
        <v>8.4</v>
      </c>
    </row>
    <row r="182" spans="1:21" ht="12.75">
      <c r="A182">
        <f t="shared" si="40"/>
        <v>4</v>
      </c>
      <c r="B182">
        <v>35</v>
      </c>
      <c r="C182" s="3">
        <v>0.245</v>
      </c>
      <c r="G182" s="3">
        <f aca="true" t="shared" si="42" ref="G182:G194">LOG10(C182)</f>
        <v>-0.6108339156354675</v>
      </c>
      <c r="H182">
        <v>12</v>
      </c>
      <c r="I182">
        <v>0.7</v>
      </c>
      <c r="J182" s="5">
        <f t="shared" si="37"/>
        <v>8.399999999999999</v>
      </c>
      <c r="L182">
        <f t="shared" si="41"/>
        <v>4</v>
      </c>
      <c r="M182">
        <v>35</v>
      </c>
      <c r="N182" s="3">
        <f t="shared" si="38"/>
        <v>0.28103752973311236</v>
      </c>
      <c r="R182" s="3">
        <f aca="true" t="shared" si="43" ref="R182:R194">LOG10(N182)</f>
        <v>-0.5512356805658497</v>
      </c>
      <c r="S182">
        <v>12</v>
      </c>
      <c r="T182">
        <v>0.7</v>
      </c>
      <c r="U182" s="5">
        <f t="shared" si="39"/>
        <v>8.399999999999999</v>
      </c>
    </row>
    <row r="183" spans="1:21" ht="12.75">
      <c r="A183">
        <f t="shared" si="40"/>
        <v>5</v>
      </c>
      <c r="B183">
        <v>26</v>
      </c>
      <c r="C183" s="3">
        <v>0.21</v>
      </c>
      <c r="G183" s="3">
        <f t="shared" si="42"/>
        <v>-0.6777807052660807</v>
      </c>
      <c r="H183">
        <v>12</v>
      </c>
      <c r="I183">
        <v>0.7</v>
      </c>
      <c r="J183" s="5">
        <f t="shared" si="37"/>
        <v>8.399999999999999</v>
      </c>
      <c r="L183">
        <f t="shared" si="41"/>
        <v>5</v>
      </c>
      <c r="M183">
        <v>26</v>
      </c>
      <c r="N183" s="3">
        <f t="shared" si="38"/>
        <v>0.23572233352106983</v>
      </c>
      <c r="R183" s="3">
        <f t="shared" si="43"/>
        <v>-0.6275992682798079</v>
      </c>
      <c r="S183">
        <v>12</v>
      </c>
      <c r="T183">
        <v>0.7</v>
      </c>
      <c r="U183" s="5">
        <f t="shared" si="39"/>
        <v>8.399999999999999</v>
      </c>
    </row>
    <row r="184" spans="1:21" ht="12.75">
      <c r="A184">
        <f t="shared" si="40"/>
        <v>6</v>
      </c>
      <c r="B184">
        <v>31</v>
      </c>
      <c r="C184" s="3">
        <v>0.19</v>
      </c>
      <c r="G184" s="3">
        <f t="shared" si="42"/>
        <v>-0.721246399047171</v>
      </c>
      <c r="H184">
        <v>12</v>
      </c>
      <c r="I184">
        <v>0.9</v>
      </c>
      <c r="J184" s="5">
        <f t="shared" si="37"/>
        <v>10.8</v>
      </c>
      <c r="L184">
        <f t="shared" si="41"/>
        <v>6</v>
      </c>
      <c r="M184">
        <v>31</v>
      </c>
      <c r="N184" s="3">
        <f t="shared" si="38"/>
        <v>0.21072103131565253</v>
      </c>
      <c r="R184" s="3">
        <f t="shared" si="43"/>
        <v>-0.6762921168431828</v>
      </c>
      <c r="S184">
        <v>12</v>
      </c>
      <c r="T184">
        <v>0.9</v>
      </c>
      <c r="U184" s="5">
        <f t="shared" si="39"/>
        <v>10.8</v>
      </c>
    </row>
    <row r="185" spans="1:21" ht="12.75">
      <c r="A185">
        <f t="shared" si="40"/>
        <v>7</v>
      </c>
      <c r="B185">
        <v>36</v>
      </c>
      <c r="C185" s="3">
        <v>0.305</v>
      </c>
      <c r="G185" s="3">
        <f t="shared" si="42"/>
        <v>-0.5157001606532141</v>
      </c>
      <c r="H185">
        <v>13</v>
      </c>
      <c r="I185">
        <v>0.5</v>
      </c>
      <c r="J185" s="5">
        <f t="shared" si="37"/>
        <v>6.5</v>
      </c>
      <c r="L185">
        <f t="shared" si="41"/>
        <v>7</v>
      </c>
      <c r="M185">
        <v>36</v>
      </c>
      <c r="N185" s="3">
        <f t="shared" si="38"/>
        <v>0.3638434334173448</v>
      </c>
      <c r="R185" s="3">
        <f t="shared" si="43"/>
        <v>-0.43908545874265764</v>
      </c>
      <c r="S185">
        <v>13</v>
      </c>
      <c r="T185">
        <v>0.5</v>
      </c>
      <c r="U185" s="5">
        <f t="shared" si="39"/>
        <v>6.5</v>
      </c>
    </row>
    <row r="186" spans="1:21" ht="12.75">
      <c r="A186">
        <f t="shared" si="40"/>
        <v>8</v>
      </c>
      <c r="B186">
        <v>33</v>
      </c>
      <c r="C186" s="3">
        <v>0.185</v>
      </c>
      <c r="G186" s="3">
        <f t="shared" si="42"/>
        <v>-0.7328282715969863</v>
      </c>
      <c r="H186">
        <v>14</v>
      </c>
      <c r="I186">
        <v>0.5</v>
      </c>
      <c r="J186" s="5">
        <f t="shared" si="37"/>
        <v>7</v>
      </c>
      <c r="L186">
        <f t="shared" si="41"/>
        <v>8</v>
      </c>
      <c r="M186">
        <v>33</v>
      </c>
      <c r="N186" s="3">
        <f t="shared" si="38"/>
        <v>0.2045671657412744</v>
      </c>
      <c r="R186" s="3">
        <f t="shared" si="43"/>
        <v>-0.6891640719029761</v>
      </c>
      <c r="S186">
        <v>14</v>
      </c>
      <c r="T186">
        <v>0.5</v>
      </c>
      <c r="U186" s="5">
        <f t="shared" si="39"/>
        <v>7</v>
      </c>
    </row>
    <row r="187" spans="1:21" ht="12.75">
      <c r="A187">
        <f t="shared" si="40"/>
        <v>9</v>
      </c>
      <c r="B187">
        <v>26</v>
      </c>
      <c r="C187" s="3">
        <v>0.3</v>
      </c>
      <c r="G187" s="3">
        <f t="shared" si="42"/>
        <v>-0.5228787452803376</v>
      </c>
      <c r="H187">
        <v>8</v>
      </c>
      <c r="I187">
        <v>1.2</v>
      </c>
      <c r="J187" s="5">
        <f t="shared" si="37"/>
        <v>9.6</v>
      </c>
      <c r="L187">
        <f t="shared" si="41"/>
        <v>9</v>
      </c>
      <c r="M187">
        <v>26</v>
      </c>
      <c r="N187" s="3">
        <f t="shared" si="38"/>
        <v>0.3566749439387324</v>
      </c>
      <c r="R187" s="3">
        <f t="shared" si="43"/>
        <v>-0.44772739834696257</v>
      </c>
      <c r="S187">
        <v>8</v>
      </c>
      <c r="T187">
        <v>1.2</v>
      </c>
      <c r="U187" s="5">
        <f t="shared" si="39"/>
        <v>9.6</v>
      </c>
    </row>
    <row r="188" spans="1:21" ht="12.75">
      <c r="A188">
        <f t="shared" si="40"/>
        <v>10</v>
      </c>
      <c r="B188">
        <v>28</v>
      </c>
      <c r="C188" s="3">
        <v>0.18</v>
      </c>
      <c r="G188" s="3">
        <f t="shared" si="42"/>
        <v>-0.7447274948966939</v>
      </c>
      <c r="H188">
        <v>20</v>
      </c>
      <c r="I188">
        <v>0.5</v>
      </c>
      <c r="J188" s="5">
        <f t="shared" si="37"/>
        <v>10</v>
      </c>
      <c r="L188">
        <f t="shared" si="41"/>
        <v>10</v>
      </c>
      <c r="M188">
        <v>28</v>
      </c>
      <c r="N188" s="3">
        <f t="shared" si="38"/>
        <v>0.19845093872383818</v>
      </c>
      <c r="R188" s="3">
        <f t="shared" si="43"/>
        <v>-0.7023468424276733</v>
      </c>
      <c r="S188">
        <v>20</v>
      </c>
      <c r="T188">
        <v>0.5</v>
      </c>
      <c r="U188" s="5">
        <f t="shared" si="39"/>
        <v>10</v>
      </c>
    </row>
    <row r="189" spans="1:21" ht="12.75">
      <c r="A189">
        <f t="shared" si="40"/>
        <v>11</v>
      </c>
      <c r="B189">
        <v>27</v>
      </c>
      <c r="C189" s="3">
        <v>0.22</v>
      </c>
      <c r="G189" s="3">
        <f t="shared" si="42"/>
        <v>-0.6575773191777937</v>
      </c>
      <c r="H189">
        <v>9</v>
      </c>
      <c r="I189">
        <v>1</v>
      </c>
      <c r="J189" s="5">
        <f t="shared" si="37"/>
        <v>9</v>
      </c>
      <c r="L189">
        <f t="shared" si="41"/>
        <v>11</v>
      </c>
      <c r="M189">
        <v>27</v>
      </c>
      <c r="N189" s="3">
        <f t="shared" si="38"/>
        <v>0.24846135929849958</v>
      </c>
      <c r="R189" s="3">
        <f t="shared" si="43"/>
        <v>-0.6047411431410941</v>
      </c>
      <c r="S189">
        <v>9</v>
      </c>
      <c r="T189">
        <v>1</v>
      </c>
      <c r="U189" s="5">
        <f t="shared" si="39"/>
        <v>9</v>
      </c>
    </row>
    <row r="190" spans="1:21" ht="12.75">
      <c r="A190">
        <f t="shared" si="40"/>
        <v>12</v>
      </c>
      <c r="B190">
        <v>25</v>
      </c>
      <c r="C190" s="3">
        <v>0.24</v>
      </c>
      <c r="E190" t="s">
        <v>519</v>
      </c>
      <c r="G190" s="3">
        <f t="shared" si="42"/>
        <v>-0.619788758288394</v>
      </c>
      <c r="H190">
        <v>14</v>
      </c>
      <c r="I190">
        <v>0.5</v>
      </c>
      <c r="J190" s="5">
        <f t="shared" si="37"/>
        <v>7</v>
      </c>
      <c r="L190">
        <f t="shared" si="41"/>
        <v>12</v>
      </c>
      <c r="M190">
        <v>25</v>
      </c>
      <c r="N190" s="3">
        <f t="shared" si="38"/>
        <v>0.27443684570176025</v>
      </c>
      <c r="P190" t="s">
        <v>519</v>
      </c>
      <c r="R190" s="3">
        <f t="shared" si="43"/>
        <v>-0.5615575809729126</v>
      </c>
      <c r="S190">
        <v>14</v>
      </c>
      <c r="T190">
        <v>0.5</v>
      </c>
      <c r="U190" s="5">
        <f t="shared" si="39"/>
        <v>7</v>
      </c>
    </row>
    <row r="191" spans="1:21" ht="12.75">
      <c r="A191">
        <f t="shared" si="40"/>
        <v>13</v>
      </c>
      <c r="B191">
        <v>32</v>
      </c>
      <c r="C191" s="3">
        <v>0.145</v>
      </c>
      <c r="E191">
        <f>COUNT(C179:C199)</f>
        <v>21</v>
      </c>
      <c r="G191" s="3">
        <f t="shared" si="42"/>
        <v>-0.8386319977650252</v>
      </c>
      <c r="H191">
        <v>18</v>
      </c>
      <c r="I191">
        <v>0.5</v>
      </c>
      <c r="J191" s="5">
        <f t="shared" si="37"/>
        <v>9</v>
      </c>
      <c r="L191">
        <f t="shared" si="41"/>
        <v>13</v>
      </c>
      <c r="M191">
        <v>32</v>
      </c>
      <c r="N191" s="3">
        <f t="shared" si="38"/>
        <v>0.15665381004537687</v>
      </c>
      <c r="P191">
        <f>COUNT(N179:N199)</f>
        <v>21</v>
      </c>
      <c r="R191" s="3">
        <f t="shared" si="43"/>
        <v>-0.8050590379890382</v>
      </c>
      <c r="S191">
        <v>18</v>
      </c>
      <c r="T191">
        <v>0.5</v>
      </c>
      <c r="U191" s="5">
        <f t="shared" si="39"/>
        <v>9</v>
      </c>
    </row>
    <row r="192" spans="1:21" ht="12.75">
      <c r="A192">
        <v>15</v>
      </c>
      <c r="B192">
        <v>40</v>
      </c>
      <c r="C192" s="3">
        <v>0.27</v>
      </c>
      <c r="E192" t="s">
        <v>598</v>
      </c>
      <c r="G192" s="3">
        <f t="shared" si="42"/>
        <v>-0.5686362358410126</v>
      </c>
      <c r="H192">
        <v>12</v>
      </c>
      <c r="I192">
        <v>0.9</v>
      </c>
      <c r="J192" s="5">
        <f t="shared" si="37"/>
        <v>10.8</v>
      </c>
      <c r="L192">
        <v>15</v>
      </c>
      <c r="M192">
        <v>40</v>
      </c>
      <c r="N192" s="3">
        <f t="shared" si="38"/>
        <v>0.31471074483970024</v>
      </c>
      <c r="P192" t="s">
        <v>598</v>
      </c>
      <c r="R192" s="3">
        <f t="shared" si="43"/>
        <v>-0.5020884291715288</v>
      </c>
      <c r="S192">
        <v>12</v>
      </c>
      <c r="T192">
        <v>0.9</v>
      </c>
      <c r="U192" s="5">
        <f t="shared" si="39"/>
        <v>10.8</v>
      </c>
    </row>
    <row r="193" spans="1:21" ht="12.75">
      <c r="A193">
        <f>A192+1</f>
        <v>16</v>
      </c>
      <c r="B193">
        <v>40</v>
      </c>
      <c r="C193" s="3">
        <v>0.16</v>
      </c>
      <c r="E193" s="3">
        <f>AVERAGE(C179:C199)</f>
        <v>0.21023809523809528</v>
      </c>
      <c r="G193" s="3">
        <f t="shared" si="42"/>
        <v>-0.7958800173440752</v>
      </c>
      <c r="H193">
        <v>13</v>
      </c>
      <c r="I193">
        <v>0.55</v>
      </c>
      <c r="J193" s="5">
        <f t="shared" si="37"/>
        <v>7.15</v>
      </c>
      <c r="L193">
        <f>L192+1</f>
        <v>16</v>
      </c>
      <c r="M193">
        <v>40</v>
      </c>
      <c r="N193" s="3">
        <f t="shared" si="38"/>
        <v>0.1743533871447778</v>
      </c>
      <c r="P193" s="3">
        <f>AVERAGE(N179:N199)</f>
        <v>0.23834906812423315</v>
      </c>
      <c r="R193" s="3">
        <f t="shared" si="43"/>
        <v>-0.7585696112131687</v>
      </c>
      <c r="S193">
        <v>13</v>
      </c>
      <c r="T193">
        <v>0.55</v>
      </c>
      <c r="U193" s="5">
        <f t="shared" si="39"/>
        <v>7.15</v>
      </c>
    </row>
    <row r="194" spans="1:21" ht="12.75">
      <c r="A194">
        <f>A193+1</f>
        <v>17</v>
      </c>
      <c r="B194">
        <v>28</v>
      </c>
      <c r="C194" s="3">
        <v>0.29</v>
      </c>
      <c r="E194" t="s">
        <v>431</v>
      </c>
      <c r="G194" s="3">
        <f t="shared" si="42"/>
        <v>-0.5376020021010439</v>
      </c>
      <c r="H194">
        <v>12</v>
      </c>
      <c r="I194">
        <v>1</v>
      </c>
      <c r="J194" s="5">
        <f t="shared" si="37"/>
        <v>12</v>
      </c>
      <c r="L194">
        <f>L193+1</f>
        <v>17</v>
      </c>
      <c r="M194">
        <v>28</v>
      </c>
      <c r="N194" s="3">
        <f t="shared" si="38"/>
        <v>0.342490308946776</v>
      </c>
      <c r="P194" t="s">
        <v>431</v>
      </c>
      <c r="R194" s="3">
        <f t="shared" si="43"/>
        <v>-0.46535171272771275</v>
      </c>
      <c r="S194">
        <v>12</v>
      </c>
      <c r="T194">
        <v>1</v>
      </c>
      <c r="U194" s="5">
        <f t="shared" si="39"/>
        <v>12</v>
      </c>
    </row>
    <row r="195" spans="1:21" ht="12.75">
      <c r="A195">
        <v>20</v>
      </c>
      <c r="B195">
        <v>28</v>
      </c>
      <c r="C195" s="3">
        <v>0.15</v>
      </c>
      <c r="E195" s="3">
        <f>STDEV(C179:C199)</f>
        <v>0.0547603001835312</v>
      </c>
      <c r="G195" s="3">
        <f>LOG10(C195)</f>
        <v>-0.8239087409443188</v>
      </c>
      <c r="H195">
        <v>16</v>
      </c>
      <c r="I195">
        <v>0.6</v>
      </c>
      <c r="J195" s="5">
        <f t="shared" si="37"/>
        <v>9.6</v>
      </c>
      <c r="L195">
        <v>20</v>
      </c>
      <c r="M195">
        <v>28</v>
      </c>
      <c r="N195" s="3">
        <f t="shared" si="38"/>
        <v>0.1625189294977749</v>
      </c>
      <c r="P195" s="3">
        <f>STDEV(N179:N199)</f>
        <v>0.07016357771543225</v>
      </c>
      <c r="R195" s="3">
        <f>LOG10(N195)</f>
        <v>-0.7890960470073316</v>
      </c>
      <c r="S195">
        <v>16</v>
      </c>
      <c r="T195">
        <v>0.6</v>
      </c>
      <c r="U195" s="5">
        <f t="shared" si="39"/>
        <v>9.6</v>
      </c>
    </row>
    <row r="196" spans="1:21" ht="12.75">
      <c r="A196">
        <f>A195+1</f>
        <v>21</v>
      </c>
      <c r="B196">
        <v>35</v>
      </c>
      <c r="C196" s="3">
        <v>0.115</v>
      </c>
      <c r="E196" t="s">
        <v>126</v>
      </c>
      <c r="F196" s="89" t="s">
        <v>323</v>
      </c>
      <c r="G196" s="3">
        <f>LOG10(C196)</f>
        <v>-0.9393021596463883</v>
      </c>
      <c r="H196">
        <v>12</v>
      </c>
      <c r="I196">
        <v>0.7</v>
      </c>
      <c r="J196" s="5">
        <f t="shared" si="37"/>
        <v>8.399999999999999</v>
      </c>
      <c r="L196">
        <f>L195+1</f>
        <v>21</v>
      </c>
      <c r="M196">
        <v>35</v>
      </c>
      <c r="N196" s="3">
        <f t="shared" si="38"/>
        <v>0.12216763397420753</v>
      </c>
      <c r="P196" t="s">
        <v>126</v>
      </c>
      <c r="Q196" s="89" t="s">
        <v>323</v>
      </c>
      <c r="R196" s="3">
        <f>LOG10(N196)</f>
        <v>-0.9130438370413083</v>
      </c>
      <c r="S196">
        <v>12</v>
      </c>
      <c r="T196">
        <v>0.7</v>
      </c>
      <c r="U196" s="5">
        <f t="shared" si="39"/>
        <v>8.399999999999999</v>
      </c>
    </row>
    <row r="197" spans="1:21" ht="12.75">
      <c r="A197">
        <v>23</v>
      </c>
      <c r="B197">
        <v>26</v>
      </c>
      <c r="C197" s="3">
        <v>0.2</v>
      </c>
      <c r="E197" s="3">
        <f>EXP(SQRT(LN(POWER(E195,2)/POWER(E193,2)+1)))</f>
        <v>1.2920182589625873</v>
      </c>
      <c r="F197" s="90">
        <f>F199/E199</f>
        <v>1.0396726693059142</v>
      </c>
      <c r="G197" s="3">
        <f>LOG10(C197)</f>
        <v>-0.6989700043360187</v>
      </c>
      <c r="H197">
        <v>14</v>
      </c>
      <c r="I197">
        <v>0.6</v>
      </c>
      <c r="J197" s="5">
        <f t="shared" si="37"/>
        <v>8.4</v>
      </c>
      <c r="L197">
        <v>23</v>
      </c>
      <c r="M197">
        <v>26</v>
      </c>
      <c r="N197" s="3">
        <f t="shared" si="38"/>
        <v>0.22314355131420968</v>
      </c>
      <c r="P197" s="3">
        <f>EXP(SQRT(LN(POWER(P195,2)/POWER(P193,2)+1)))</f>
        <v>1.3341292955744812</v>
      </c>
      <c r="Q197" s="90">
        <f>Q199/P199</f>
        <v>1.0392782470265192</v>
      </c>
      <c r="R197" s="3">
        <f>LOG10(N197)</f>
        <v>-0.6514156594356943</v>
      </c>
      <c r="S197">
        <v>14</v>
      </c>
      <c r="T197">
        <v>0.6</v>
      </c>
      <c r="U197" s="5">
        <f t="shared" si="39"/>
        <v>8.4</v>
      </c>
    </row>
    <row r="198" spans="1:21" ht="12.75">
      <c r="A198">
        <f>A197+1</f>
        <v>24</v>
      </c>
      <c r="B198">
        <v>35</v>
      </c>
      <c r="C198" s="3">
        <v>0.265</v>
      </c>
      <c r="E198" t="s">
        <v>384</v>
      </c>
      <c r="F198" t="s">
        <v>384</v>
      </c>
      <c r="G198" s="3">
        <f>LOG10(C198)</f>
        <v>-0.5767541260631921</v>
      </c>
      <c r="H198">
        <v>12</v>
      </c>
      <c r="I198">
        <v>0.75</v>
      </c>
      <c r="J198" s="5">
        <f t="shared" si="37"/>
        <v>9</v>
      </c>
      <c r="L198">
        <f>L197+1</f>
        <v>24</v>
      </c>
      <c r="M198">
        <v>35</v>
      </c>
      <c r="N198" s="3">
        <f t="shared" si="38"/>
        <v>0.3078847797693004</v>
      </c>
      <c r="P198" t="s">
        <v>384</v>
      </c>
      <c r="Q198" t="s">
        <v>384</v>
      </c>
      <c r="R198" s="3">
        <f>LOG10(N198)</f>
        <v>-0.5116117798385592</v>
      </c>
      <c r="S198">
        <v>12</v>
      </c>
      <c r="T198">
        <v>0.75</v>
      </c>
      <c r="U198" s="5">
        <f t="shared" si="39"/>
        <v>9</v>
      </c>
    </row>
    <row r="199" spans="1:21" ht="12.75">
      <c r="A199">
        <v>25</v>
      </c>
      <c r="B199">
        <v>24</v>
      </c>
      <c r="C199" s="3">
        <v>0.16</v>
      </c>
      <c r="E199" s="40">
        <f>LOG10(E197)</f>
        <v>0.11126865120601918</v>
      </c>
      <c r="F199" s="94">
        <f>STDEV(G179:G199)</f>
        <v>0.1156829756094307</v>
      </c>
      <c r="G199" s="3">
        <f>LOG10(C199)</f>
        <v>-0.7958800173440752</v>
      </c>
      <c r="H199">
        <v>13</v>
      </c>
      <c r="I199">
        <v>0.6</v>
      </c>
      <c r="J199" s="5">
        <f t="shared" si="37"/>
        <v>7.8</v>
      </c>
      <c r="L199">
        <v>25</v>
      </c>
      <c r="M199">
        <v>24</v>
      </c>
      <c r="N199" s="3">
        <f t="shared" si="38"/>
        <v>0.1743533871447778</v>
      </c>
      <c r="P199" s="40">
        <f>LOG10(P197)</f>
        <v>0.12519792076004593</v>
      </c>
      <c r="Q199" s="178">
        <f>STDEV(R179:R199)</f>
        <v>0.13011547561886558</v>
      </c>
      <c r="R199" s="3">
        <f>LOG10(N199)</f>
        <v>-0.7585696112131687</v>
      </c>
      <c r="S199">
        <v>13</v>
      </c>
      <c r="T199">
        <v>0.6</v>
      </c>
      <c r="U199" s="5">
        <f t="shared" si="39"/>
        <v>7.8</v>
      </c>
    </row>
    <row r="201" spans="1:12" ht="12.75">
      <c r="A201" s="58" t="s">
        <v>421</v>
      </c>
      <c r="L201" s="58" t="s">
        <v>421</v>
      </c>
    </row>
    <row r="202" spans="1:12" ht="12.75">
      <c r="A202" s="59" t="s">
        <v>465</v>
      </c>
      <c r="L202" s="59" t="s">
        <v>465</v>
      </c>
    </row>
    <row r="203" spans="1:21" ht="12.75">
      <c r="A203" t="s">
        <v>127</v>
      </c>
      <c r="B203" t="s">
        <v>509</v>
      </c>
      <c r="C203" t="s">
        <v>414</v>
      </c>
      <c r="G203" t="s">
        <v>207</v>
      </c>
      <c r="H203" t="s">
        <v>468</v>
      </c>
      <c r="I203" t="s">
        <v>469</v>
      </c>
      <c r="J203" t="s">
        <v>224</v>
      </c>
      <c r="L203" t="s">
        <v>127</v>
      </c>
      <c r="M203" t="s">
        <v>509</v>
      </c>
      <c r="N203" t="s">
        <v>414</v>
      </c>
      <c r="R203" t="s">
        <v>207</v>
      </c>
      <c r="S203" t="s">
        <v>468</v>
      </c>
      <c r="T203" t="s">
        <v>469</v>
      </c>
      <c r="U203" t="s">
        <v>224</v>
      </c>
    </row>
    <row r="204" spans="1:21" ht="12.75">
      <c r="A204">
        <v>1</v>
      </c>
      <c r="B204">
        <v>47</v>
      </c>
      <c r="C204" s="3">
        <v>0.31</v>
      </c>
      <c r="G204" s="3">
        <f>LOG10(C204)</f>
        <v>-0.5086383061657272</v>
      </c>
      <c r="H204">
        <v>8</v>
      </c>
      <c r="I204">
        <v>1.2</v>
      </c>
      <c r="J204" s="5">
        <f aca="true" t="shared" si="44" ref="J204:J223">I204*H204</f>
        <v>9.6</v>
      </c>
      <c r="L204">
        <v>1</v>
      </c>
      <c r="M204">
        <v>47</v>
      </c>
      <c r="N204" s="3">
        <f aca="true" t="shared" si="45" ref="N204:N224">-LN(1-C204)</f>
        <v>0.371063681390832</v>
      </c>
      <c r="R204" s="3">
        <f>LOG10(N204)</f>
        <v>-0.4305515510229028</v>
      </c>
      <c r="S204">
        <v>8</v>
      </c>
      <c r="T204">
        <v>1.2</v>
      </c>
      <c r="U204" s="5">
        <f>T204*S204</f>
        <v>9.6</v>
      </c>
    </row>
    <row r="205" spans="1:21" ht="12.75">
      <c r="A205">
        <f>A204+1</f>
        <v>2</v>
      </c>
      <c r="B205">
        <v>43</v>
      </c>
      <c r="C205" s="3">
        <v>0.23</v>
      </c>
      <c r="G205" s="3">
        <f>LOG10(C205)</f>
        <v>-0.6382721639824072</v>
      </c>
      <c r="H205">
        <v>12</v>
      </c>
      <c r="I205">
        <v>1</v>
      </c>
      <c r="J205" s="5">
        <f t="shared" si="44"/>
        <v>12</v>
      </c>
      <c r="L205">
        <f>L204+1</f>
        <v>2</v>
      </c>
      <c r="M205">
        <v>43</v>
      </c>
      <c r="N205" s="3">
        <f t="shared" si="45"/>
        <v>0.2613647641344075</v>
      </c>
      <c r="R205" s="3">
        <f>LOG10(N205)</f>
        <v>-0.5827529621780622</v>
      </c>
      <c r="S205">
        <v>12</v>
      </c>
      <c r="T205">
        <v>1</v>
      </c>
      <c r="U205" s="5">
        <f aca="true" t="shared" si="46" ref="U205:U224">T205*S205</f>
        <v>12</v>
      </c>
    </row>
    <row r="206" spans="1:21" ht="12.75">
      <c r="A206">
        <f aca="true" t="shared" si="47" ref="A206:A216">A205+1</f>
        <v>3</v>
      </c>
      <c r="B206">
        <v>36</v>
      </c>
      <c r="C206" s="3">
        <v>0.21</v>
      </c>
      <c r="G206" s="3">
        <f>LOG10(C206)</f>
        <v>-0.6777807052660807</v>
      </c>
      <c r="H206">
        <v>20</v>
      </c>
      <c r="I206">
        <v>0.55</v>
      </c>
      <c r="J206" s="5">
        <f t="shared" si="44"/>
        <v>11</v>
      </c>
      <c r="L206">
        <f aca="true" t="shared" si="48" ref="L206:L216">L205+1</f>
        <v>3</v>
      </c>
      <c r="M206">
        <v>36</v>
      </c>
      <c r="N206" s="3">
        <f t="shared" si="45"/>
        <v>0.23572233352106983</v>
      </c>
      <c r="R206" s="3">
        <f>LOG10(N206)</f>
        <v>-0.6275992682798079</v>
      </c>
      <c r="S206">
        <v>20</v>
      </c>
      <c r="T206">
        <v>0.55</v>
      </c>
      <c r="U206" s="5">
        <f t="shared" si="46"/>
        <v>11</v>
      </c>
    </row>
    <row r="207" spans="1:21" ht="12.75">
      <c r="A207">
        <f t="shared" si="47"/>
        <v>4</v>
      </c>
      <c r="B207">
        <v>35</v>
      </c>
      <c r="C207" s="3">
        <v>0.35</v>
      </c>
      <c r="G207" s="3">
        <f aca="true" t="shared" si="49" ref="G207:G219">LOG10(C207)</f>
        <v>-0.45593195564972444</v>
      </c>
      <c r="H207">
        <v>11</v>
      </c>
      <c r="I207">
        <v>0.75</v>
      </c>
      <c r="J207" s="5">
        <f t="shared" si="44"/>
        <v>8.25</v>
      </c>
      <c r="L207">
        <f t="shared" si="48"/>
        <v>4</v>
      </c>
      <c r="M207">
        <v>35</v>
      </c>
      <c r="N207" s="3">
        <f t="shared" si="45"/>
        <v>0.43078291609245417</v>
      </c>
      <c r="R207" s="3">
        <f aca="true" t="shared" si="50" ref="R207:R219">LOG10(N207)</f>
        <v>-0.36574152820110817</v>
      </c>
      <c r="S207">
        <v>11</v>
      </c>
      <c r="T207">
        <v>0.75</v>
      </c>
      <c r="U207" s="5">
        <f t="shared" si="46"/>
        <v>8.25</v>
      </c>
    </row>
    <row r="208" spans="1:21" ht="12.75">
      <c r="A208">
        <f t="shared" si="47"/>
        <v>5</v>
      </c>
      <c r="B208">
        <v>26</v>
      </c>
      <c r="C208" s="3">
        <v>0.25</v>
      </c>
      <c r="G208" s="3">
        <f t="shared" si="49"/>
        <v>-0.6020599913279624</v>
      </c>
      <c r="H208">
        <v>12</v>
      </c>
      <c r="I208">
        <v>0.8</v>
      </c>
      <c r="J208" s="5">
        <f t="shared" si="44"/>
        <v>9.600000000000001</v>
      </c>
      <c r="L208">
        <f t="shared" si="48"/>
        <v>5</v>
      </c>
      <c r="M208">
        <v>26</v>
      </c>
      <c r="N208" s="3">
        <f t="shared" si="45"/>
        <v>0.2876820724517809</v>
      </c>
      <c r="R208" s="3">
        <f t="shared" si="50"/>
        <v>-0.5410872012930469</v>
      </c>
      <c r="S208">
        <v>12</v>
      </c>
      <c r="T208">
        <v>0.8</v>
      </c>
      <c r="U208" s="5">
        <f t="shared" si="46"/>
        <v>9.600000000000001</v>
      </c>
    </row>
    <row r="209" spans="1:21" ht="12.75">
      <c r="A209">
        <f t="shared" si="47"/>
        <v>6</v>
      </c>
      <c r="B209">
        <v>31</v>
      </c>
      <c r="C209" s="3">
        <v>0.25</v>
      </c>
      <c r="G209" s="3">
        <f t="shared" si="49"/>
        <v>-0.6020599913279624</v>
      </c>
      <c r="H209">
        <v>10</v>
      </c>
      <c r="I209">
        <v>1</v>
      </c>
      <c r="J209" s="5">
        <f t="shared" si="44"/>
        <v>10</v>
      </c>
      <c r="L209">
        <f t="shared" si="48"/>
        <v>6</v>
      </c>
      <c r="M209">
        <v>31</v>
      </c>
      <c r="N209" s="3">
        <f t="shared" si="45"/>
        <v>0.2876820724517809</v>
      </c>
      <c r="R209" s="3">
        <f t="shared" si="50"/>
        <v>-0.5410872012930469</v>
      </c>
      <c r="S209">
        <v>10</v>
      </c>
      <c r="T209">
        <v>1</v>
      </c>
      <c r="U209" s="5">
        <f t="shared" si="46"/>
        <v>10</v>
      </c>
    </row>
    <row r="210" spans="1:21" ht="12.75">
      <c r="A210">
        <f t="shared" si="47"/>
        <v>7</v>
      </c>
      <c r="B210">
        <v>36</v>
      </c>
      <c r="C210" s="3">
        <v>0.395</v>
      </c>
      <c r="G210" s="3">
        <f t="shared" si="49"/>
        <v>-0.40340290437353976</v>
      </c>
      <c r="H210">
        <v>12</v>
      </c>
      <c r="I210">
        <v>0.8</v>
      </c>
      <c r="J210" s="5">
        <f t="shared" si="44"/>
        <v>9.600000000000001</v>
      </c>
      <c r="L210">
        <f t="shared" si="48"/>
        <v>7</v>
      </c>
      <c r="M210">
        <v>36</v>
      </c>
      <c r="N210" s="3">
        <f t="shared" si="45"/>
        <v>0.5025268209512956</v>
      </c>
      <c r="R210" s="3">
        <f t="shared" si="50"/>
        <v>-0.29884075404618615</v>
      </c>
      <c r="S210">
        <v>12</v>
      </c>
      <c r="T210">
        <v>0.8</v>
      </c>
      <c r="U210" s="5">
        <f t="shared" si="46"/>
        <v>9.600000000000001</v>
      </c>
    </row>
    <row r="211" spans="1:21" ht="12.75">
      <c r="A211">
        <f t="shared" si="47"/>
        <v>8</v>
      </c>
      <c r="B211">
        <v>33</v>
      </c>
      <c r="C211" s="3">
        <v>0.255</v>
      </c>
      <c r="G211" s="3">
        <f t="shared" si="49"/>
        <v>-0.5934598195660448</v>
      </c>
      <c r="H211">
        <v>12</v>
      </c>
      <c r="I211">
        <v>0.7</v>
      </c>
      <c r="J211" s="5">
        <f t="shared" si="44"/>
        <v>8.399999999999999</v>
      </c>
      <c r="L211">
        <f t="shared" si="48"/>
        <v>8</v>
      </c>
      <c r="M211">
        <v>33</v>
      </c>
      <c r="N211" s="3">
        <f t="shared" si="45"/>
        <v>0.2943710606025775</v>
      </c>
      <c r="R211" s="3">
        <f t="shared" si="50"/>
        <v>-0.531104887399675</v>
      </c>
      <c r="S211">
        <v>12</v>
      </c>
      <c r="T211">
        <v>0.7</v>
      </c>
      <c r="U211" s="5">
        <f t="shared" si="46"/>
        <v>8.399999999999999</v>
      </c>
    </row>
    <row r="212" spans="1:21" ht="12.75">
      <c r="A212">
        <f t="shared" si="47"/>
        <v>9</v>
      </c>
      <c r="B212">
        <v>26</v>
      </c>
      <c r="C212" s="3">
        <v>0.37</v>
      </c>
      <c r="G212" s="3">
        <f t="shared" si="49"/>
        <v>-0.431798275933005</v>
      </c>
      <c r="H212">
        <v>9</v>
      </c>
      <c r="I212">
        <v>1.2</v>
      </c>
      <c r="J212" s="5">
        <f t="shared" si="44"/>
        <v>10.799999999999999</v>
      </c>
      <c r="L212">
        <f t="shared" si="48"/>
        <v>9</v>
      </c>
      <c r="M212">
        <v>26</v>
      </c>
      <c r="N212" s="3">
        <f t="shared" si="45"/>
        <v>0.4620354595965587</v>
      </c>
      <c r="R212" s="3">
        <f t="shared" si="50"/>
        <v>-0.33532469259072195</v>
      </c>
      <c r="S212">
        <v>9</v>
      </c>
      <c r="T212">
        <v>1.2</v>
      </c>
      <c r="U212" s="5">
        <f t="shared" si="46"/>
        <v>10.799999999999999</v>
      </c>
    </row>
    <row r="213" spans="1:21" ht="12.75">
      <c r="A213">
        <f t="shared" si="47"/>
        <v>10</v>
      </c>
      <c r="B213">
        <v>28</v>
      </c>
      <c r="C213" s="3">
        <v>0.35</v>
      </c>
      <c r="G213" s="3">
        <f t="shared" si="49"/>
        <v>-0.45593195564972444</v>
      </c>
      <c r="H213">
        <v>20</v>
      </c>
      <c r="I213">
        <v>0.4</v>
      </c>
      <c r="J213" s="5">
        <f t="shared" si="44"/>
        <v>8</v>
      </c>
      <c r="L213">
        <f t="shared" si="48"/>
        <v>10</v>
      </c>
      <c r="M213">
        <v>28</v>
      </c>
      <c r="N213" s="3">
        <f t="shared" si="45"/>
        <v>0.43078291609245417</v>
      </c>
      <c r="R213" s="3">
        <f t="shared" si="50"/>
        <v>-0.36574152820110817</v>
      </c>
      <c r="S213">
        <v>20</v>
      </c>
      <c r="T213">
        <v>0.4</v>
      </c>
      <c r="U213" s="5">
        <f t="shared" si="46"/>
        <v>8</v>
      </c>
    </row>
    <row r="214" spans="1:21" ht="12.75">
      <c r="A214">
        <f t="shared" si="47"/>
        <v>11</v>
      </c>
      <c r="B214">
        <v>27</v>
      </c>
      <c r="C214" s="3">
        <v>0.195</v>
      </c>
      <c r="G214" s="3">
        <f t="shared" si="49"/>
        <v>-0.7099653886374819</v>
      </c>
      <c r="H214">
        <v>10</v>
      </c>
      <c r="I214">
        <v>1.2</v>
      </c>
      <c r="J214" s="5">
        <f t="shared" si="44"/>
        <v>12</v>
      </c>
      <c r="L214">
        <f t="shared" si="48"/>
        <v>11</v>
      </c>
      <c r="M214">
        <v>27</v>
      </c>
      <c r="N214" s="3">
        <f t="shared" si="45"/>
        <v>0.21691300156357377</v>
      </c>
      <c r="R214" s="3">
        <f t="shared" si="50"/>
        <v>-0.6637144159983027</v>
      </c>
      <c r="S214">
        <v>10</v>
      </c>
      <c r="T214">
        <v>1.2</v>
      </c>
      <c r="U214" s="5">
        <f t="shared" si="46"/>
        <v>12</v>
      </c>
    </row>
    <row r="215" spans="1:21" ht="12.75">
      <c r="A215">
        <f t="shared" si="47"/>
        <v>12</v>
      </c>
      <c r="B215">
        <v>25</v>
      </c>
      <c r="C215" s="3">
        <v>0.26</v>
      </c>
      <c r="E215" t="s">
        <v>519</v>
      </c>
      <c r="G215" s="3">
        <f t="shared" si="49"/>
        <v>-0.585026652029182</v>
      </c>
      <c r="H215">
        <v>17</v>
      </c>
      <c r="I215">
        <v>0.6</v>
      </c>
      <c r="J215" s="5">
        <f t="shared" si="44"/>
        <v>10.2</v>
      </c>
      <c r="L215">
        <f t="shared" si="48"/>
        <v>12</v>
      </c>
      <c r="M215">
        <v>25</v>
      </c>
      <c r="N215" s="3">
        <f t="shared" si="45"/>
        <v>0.30110509278392167</v>
      </c>
      <c r="P215" t="s">
        <v>519</v>
      </c>
      <c r="R215" s="3">
        <f t="shared" si="50"/>
        <v>-0.5212818989234742</v>
      </c>
      <c r="S215">
        <v>17</v>
      </c>
      <c r="T215">
        <v>0.6</v>
      </c>
      <c r="U215" s="5">
        <f t="shared" si="46"/>
        <v>10.2</v>
      </c>
    </row>
    <row r="216" spans="1:21" ht="12.75">
      <c r="A216">
        <f t="shared" si="47"/>
        <v>13</v>
      </c>
      <c r="B216">
        <v>32</v>
      </c>
      <c r="C216" s="3">
        <v>0.255</v>
      </c>
      <c r="E216">
        <f>COUNT(C204:C224)</f>
        <v>21</v>
      </c>
      <c r="G216" s="3">
        <f t="shared" si="49"/>
        <v>-0.5934598195660448</v>
      </c>
      <c r="H216">
        <v>12</v>
      </c>
      <c r="I216">
        <v>1</v>
      </c>
      <c r="J216" s="5">
        <f t="shared" si="44"/>
        <v>12</v>
      </c>
      <c r="L216">
        <f t="shared" si="48"/>
        <v>13</v>
      </c>
      <c r="M216">
        <v>32</v>
      </c>
      <c r="N216" s="3">
        <f t="shared" si="45"/>
        <v>0.2943710606025775</v>
      </c>
      <c r="P216">
        <f>COUNT(N204:N224)</f>
        <v>21</v>
      </c>
      <c r="R216" s="3">
        <f t="shared" si="50"/>
        <v>-0.531104887399675</v>
      </c>
      <c r="S216">
        <v>12</v>
      </c>
      <c r="T216">
        <v>1</v>
      </c>
      <c r="U216" s="5">
        <f t="shared" si="46"/>
        <v>12</v>
      </c>
    </row>
    <row r="217" spans="1:21" ht="12.75">
      <c r="A217">
        <v>15</v>
      </c>
      <c r="B217">
        <v>40</v>
      </c>
      <c r="C217" s="3">
        <v>0.31</v>
      </c>
      <c r="E217" t="s">
        <v>598</v>
      </c>
      <c r="G217" s="3">
        <f t="shared" si="49"/>
        <v>-0.5086383061657272</v>
      </c>
      <c r="H217">
        <v>12</v>
      </c>
      <c r="I217">
        <v>1</v>
      </c>
      <c r="J217" s="5">
        <f t="shared" si="44"/>
        <v>12</v>
      </c>
      <c r="L217">
        <v>15</v>
      </c>
      <c r="M217">
        <v>40</v>
      </c>
      <c r="N217" s="3">
        <f t="shared" si="45"/>
        <v>0.371063681390832</v>
      </c>
      <c r="P217" t="s">
        <v>598</v>
      </c>
      <c r="R217" s="3">
        <f t="shared" si="50"/>
        <v>-0.4305515510229028</v>
      </c>
      <c r="S217">
        <v>12</v>
      </c>
      <c r="T217">
        <v>1</v>
      </c>
      <c r="U217" s="5">
        <f t="shared" si="46"/>
        <v>12</v>
      </c>
    </row>
    <row r="218" spans="1:21" ht="12.75">
      <c r="A218">
        <f>A217+1</f>
        <v>16</v>
      </c>
      <c r="B218">
        <v>40</v>
      </c>
      <c r="C218" s="3">
        <v>0.235</v>
      </c>
      <c r="E218" s="3">
        <f>AVERAGE(C204:C224)</f>
        <v>0.2721428571428572</v>
      </c>
      <c r="G218" s="3">
        <f t="shared" si="49"/>
        <v>-0.6289321377282637</v>
      </c>
      <c r="H218">
        <v>10</v>
      </c>
      <c r="I218">
        <v>0.4</v>
      </c>
      <c r="J218" s="5">
        <f t="shared" si="44"/>
        <v>4</v>
      </c>
      <c r="L218">
        <f>L217+1</f>
        <v>16</v>
      </c>
      <c r="M218">
        <v>40</v>
      </c>
      <c r="N218" s="3">
        <f t="shared" si="45"/>
        <v>0.2678794451556012</v>
      </c>
      <c r="P218" s="3">
        <f>AVERAGE(N204:N224)</f>
        <v>0.3234080855785466</v>
      </c>
      <c r="R218" s="3">
        <f t="shared" si="50"/>
        <v>-0.5720606092659098</v>
      </c>
      <c r="S218">
        <v>10</v>
      </c>
      <c r="T218">
        <v>0.4</v>
      </c>
      <c r="U218" s="5">
        <f t="shared" si="46"/>
        <v>4</v>
      </c>
    </row>
    <row r="219" spans="1:21" ht="12.75">
      <c r="A219">
        <f>A218+1</f>
        <v>17</v>
      </c>
      <c r="B219">
        <v>28</v>
      </c>
      <c r="C219" s="3">
        <v>0.44</v>
      </c>
      <c r="E219" t="s">
        <v>431</v>
      </c>
      <c r="G219" s="3">
        <f t="shared" si="49"/>
        <v>-0.3565473235138126</v>
      </c>
      <c r="H219">
        <v>11</v>
      </c>
      <c r="I219">
        <v>1</v>
      </c>
      <c r="J219" s="5">
        <f t="shared" si="44"/>
        <v>11</v>
      </c>
      <c r="L219">
        <f>L218+1</f>
        <v>17</v>
      </c>
      <c r="M219">
        <v>28</v>
      </c>
      <c r="N219" s="3">
        <f t="shared" si="45"/>
        <v>0.579818495252942</v>
      </c>
      <c r="P219" t="s">
        <v>431</v>
      </c>
      <c r="R219" s="3">
        <f t="shared" si="50"/>
        <v>-0.2367079354829482</v>
      </c>
      <c r="S219">
        <v>11</v>
      </c>
      <c r="T219">
        <v>1</v>
      </c>
      <c r="U219" s="5">
        <f t="shared" si="46"/>
        <v>11</v>
      </c>
    </row>
    <row r="220" spans="1:21" ht="12.75">
      <c r="A220">
        <v>20</v>
      </c>
      <c r="B220">
        <v>28</v>
      </c>
      <c r="C220" s="3">
        <v>0.16</v>
      </c>
      <c r="E220" s="3">
        <f>STDEV(C204:C224)</f>
        <v>0.07882847563811293</v>
      </c>
      <c r="G220" s="3">
        <f>LOG10(C220)</f>
        <v>-0.7958800173440752</v>
      </c>
      <c r="H220">
        <v>15</v>
      </c>
      <c r="I220">
        <v>0.6</v>
      </c>
      <c r="J220" s="5">
        <f t="shared" si="44"/>
        <v>9</v>
      </c>
      <c r="L220">
        <v>20</v>
      </c>
      <c r="M220">
        <v>28</v>
      </c>
      <c r="N220" s="3">
        <f t="shared" si="45"/>
        <v>0.1743533871447778</v>
      </c>
      <c r="P220" s="3">
        <f>STDEV(N204:N224)</f>
        <v>0.11093411692493599</v>
      </c>
      <c r="R220" s="3">
        <f>LOG10(N220)</f>
        <v>-0.7585696112131687</v>
      </c>
      <c r="S220">
        <v>15</v>
      </c>
      <c r="T220">
        <v>0.6</v>
      </c>
      <c r="U220" s="5">
        <f t="shared" si="46"/>
        <v>9</v>
      </c>
    </row>
    <row r="221" spans="1:21" ht="12.75">
      <c r="A221">
        <f>A220+1</f>
        <v>21</v>
      </c>
      <c r="B221">
        <v>35</v>
      </c>
      <c r="C221" s="3">
        <v>0.11</v>
      </c>
      <c r="E221" t="s">
        <v>126</v>
      </c>
      <c r="F221" s="89" t="s">
        <v>323</v>
      </c>
      <c r="G221" s="3">
        <f>LOG10(C221)</f>
        <v>-0.9586073148417749</v>
      </c>
      <c r="H221">
        <v>16</v>
      </c>
      <c r="I221">
        <v>0.5</v>
      </c>
      <c r="J221" s="5">
        <f t="shared" si="44"/>
        <v>8</v>
      </c>
      <c r="L221">
        <f>L220+1</f>
        <v>21</v>
      </c>
      <c r="M221">
        <v>35</v>
      </c>
      <c r="N221" s="3">
        <f t="shared" si="45"/>
        <v>0.11653381625595151</v>
      </c>
      <c r="P221" t="s">
        <v>126</v>
      </c>
      <c r="Q221" s="89" t="s">
        <v>323</v>
      </c>
      <c r="R221" s="3">
        <f>LOG10(N221)</f>
        <v>-0.9335480310130718</v>
      </c>
      <c r="S221">
        <v>16</v>
      </c>
      <c r="T221">
        <v>0.5</v>
      </c>
      <c r="U221" s="5">
        <f t="shared" si="46"/>
        <v>8</v>
      </c>
    </row>
    <row r="222" spans="1:21" ht="12.75">
      <c r="A222">
        <v>23</v>
      </c>
      <c r="B222">
        <v>26</v>
      </c>
      <c r="C222" s="3">
        <v>0.22</v>
      </c>
      <c r="E222" s="3">
        <f>EXP(SQRT(LN(POWER(E220,2)/POWER(E218,2)+1)))</f>
        <v>1.328225917252301</v>
      </c>
      <c r="F222" s="90">
        <f>F224/E224</f>
        <v>1.1105420256104923</v>
      </c>
      <c r="G222" s="3">
        <f>LOG10(C222)</f>
        <v>-0.6575773191777937</v>
      </c>
      <c r="H222">
        <v>16</v>
      </c>
      <c r="I222">
        <v>0.65</v>
      </c>
      <c r="J222" s="5">
        <f t="shared" si="44"/>
        <v>10.4</v>
      </c>
      <c r="L222">
        <v>23</v>
      </c>
      <c r="M222">
        <v>26</v>
      </c>
      <c r="N222" s="3">
        <f t="shared" si="45"/>
        <v>0.24846135929849958</v>
      </c>
      <c r="P222" s="3">
        <f>EXP(SQRT(LN(POWER(P220,2)/POWER(P218,2)+1)))</f>
        <v>1.3958761938881807</v>
      </c>
      <c r="Q222" s="90">
        <f>Q224/P224</f>
        <v>1.0965142134427548</v>
      </c>
      <c r="R222" s="3">
        <f>LOG10(N222)</f>
        <v>-0.6047411431410941</v>
      </c>
      <c r="S222">
        <v>16</v>
      </c>
      <c r="T222">
        <v>0.65</v>
      </c>
      <c r="U222" s="5">
        <f t="shared" si="46"/>
        <v>10.4</v>
      </c>
    </row>
    <row r="223" spans="1:21" ht="12.75">
      <c r="A223">
        <f>A222+1</f>
        <v>24</v>
      </c>
      <c r="B223">
        <v>35</v>
      </c>
      <c r="C223" s="3">
        <v>0.285</v>
      </c>
      <c r="E223" t="s">
        <v>384</v>
      </c>
      <c r="F223" t="s">
        <v>384</v>
      </c>
      <c r="G223" s="3">
        <f>LOG10(C223)</f>
        <v>-0.5451551399914898</v>
      </c>
      <c r="H223">
        <v>12</v>
      </c>
      <c r="I223">
        <v>0.8</v>
      </c>
      <c r="J223" s="5">
        <f t="shared" si="44"/>
        <v>9.600000000000001</v>
      </c>
      <c r="L223">
        <f>L222+1</f>
        <v>24</v>
      </c>
      <c r="M223">
        <v>35</v>
      </c>
      <c r="N223" s="3">
        <f t="shared" si="45"/>
        <v>0.3354727362881293</v>
      </c>
      <c r="P223" t="s">
        <v>384</v>
      </c>
      <c r="Q223" t="s">
        <v>384</v>
      </c>
      <c r="R223" s="3">
        <f>LOG10(N223)</f>
        <v>-0.4743427689696351</v>
      </c>
      <c r="S223">
        <v>12</v>
      </c>
      <c r="T223">
        <v>0.8</v>
      </c>
      <c r="U223" s="5">
        <f t="shared" si="46"/>
        <v>9.600000000000001</v>
      </c>
    </row>
    <row r="224" spans="1:21" ht="12.75">
      <c r="A224">
        <v>25</v>
      </c>
      <c r="B224">
        <v>24</v>
      </c>
      <c r="C224" s="3">
        <v>0.275</v>
      </c>
      <c r="E224" s="40">
        <f>LOG10(E222)</f>
        <v>0.1232719502363933</v>
      </c>
      <c r="F224" s="94">
        <f>STDEV(G204:G224)</f>
        <v>0.13689868131648003</v>
      </c>
      <c r="G224" s="3">
        <f>LOG10(C224)</f>
        <v>-0.5606673061697373</v>
      </c>
      <c r="H224">
        <v>12</v>
      </c>
      <c r="I224">
        <v>0.7</v>
      </c>
      <c r="J224" s="5">
        <f>I224*H224</f>
        <v>8.399999999999999</v>
      </c>
      <c r="L224">
        <v>25</v>
      </c>
      <c r="M224">
        <v>24</v>
      </c>
      <c r="N224" s="3">
        <f t="shared" si="45"/>
        <v>0.32158362412746233</v>
      </c>
      <c r="P224" s="40">
        <f>LOG10(P222)</f>
        <v>0.14484690059689376</v>
      </c>
      <c r="Q224" s="178">
        <f>STDEV(R204:R224)</f>
        <v>0.15882668527762384</v>
      </c>
      <c r="R224" s="3">
        <f>LOG10(N224)</f>
        <v>-0.4927060747623795</v>
      </c>
      <c r="S224">
        <v>2</v>
      </c>
      <c r="T224">
        <v>0.7</v>
      </c>
      <c r="U224" s="5">
        <f t="shared" si="46"/>
        <v>1.4</v>
      </c>
    </row>
    <row r="226" spans="1:12" ht="12.75">
      <c r="A226" s="58" t="s">
        <v>421</v>
      </c>
      <c r="L226" s="58" t="s">
        <v>421</v>
      </c>
    </row>
    <row r="227" spans="1:12" ht="12.75">
      <c r="A227" s="59" t="s">
        <v>466</v>
      </c>
      <c r="L227" s="59" t="s">
        <v>466</v>
      </c>
    </row>
    <row r="228" spans="1:21" ht="12.75">
      <c r="A228" t="s">
        <v>127</v>
      </c>
      <c r="B228" t="s">
        <v>509</v>
      </c>
      <c r="C228" t="s">
        <v>414</v>
      </c>
      <c r="G228" t="s">
        <v>207</v>
      </c>
      <c r="H228" t="s">
        <v>468</v>
      </c>
      <c r="I228" t="s">
        <v>469</v>
      </c>
      <c r="J228" t="s">
        <v>224</v>
      </c>
      <c r="L228" t="s">
        <v>127</v>
      </c>
      <c r="M228" t="s">
        <v>509</v>
      </c>
      <c r="N228" t="s">
        <v>414</v>
      </c>
      <c r="R228" t="s">
        <v>207</v>
      </c>
      <c r="S228" t="s">
        <v>468</v>
      </c>
      <c r="T228" t="s">
        <v>469</v>
      </c>
      <c r="U228" t="s">
        <v>224</v>
      </c>
    </row>
    <row r="229" spans="1:21" ht="12.75">
      <c r="A229">
        <v>1</v>
      </c>
      <c r="B229">
        <v>47</v>
      </c>
      <c r="C229" s="3">
        <v>0.57</v>
      </c>
      <c r="G229" s="3">
        <f>LOG10(C229)</f>
        <v>-0.24412514432750865</v>
      </c>
      <c r="H229">
        <v>9</v>
      </c>
      <c r="I229">
        <v>1.5</v>
      </c>
      <c r="J229" s="5">
        <f aca="true" t="shared" si="51" ref="J229:J245">I229*H229</f>
        <v>13.5</v>
      </c>
      <c r="L229">
        <v>1</v>
      </c>
      <c r="M229">
        <v>47</v>
      </c>
      <c r="N229" s="3">
        <f aca="true" t="shared" si="52" ref="N229:N249">-LN(1-C229)</f>
        <v>0.8439700702945289</v>
      </c>
      <c r="R229" s="3">
        <f>LOG10(N229)</f>
        <v>-0.07367295448383286</v>
      </c>
      <c r="S229">
        <v>9</v>
      </c>
      <c r="T229">
        <v>1.5</v>
      </c>
      <c r="U229" s="5">
        <f>T229*S229</f>
        <v>13.5</v>
      </c>
    </row>
    <row r="230" spans="1:21" ht="12.75">
      <c r="A230">
        <f>A229+1</f>
        <v>2</v>
      </c>
      <c r="B230">
        <v>43</v>
      </c>
      <c r="C230" s="3">
        <v>0.535</v>
      </c>
      <c r="G230" s="3">
        <f>LOG10(C230)</f>
        <v>-0.27164621797877153</v>
      </c>
      <c r="H230">
        <v>12</v>
      </c>
      <c r="I230">
        <v>1</v>
      </c>
      <c r="J230" s="5">
        <f t="shared" si="51"/>
        <v>12</v>
      </c>
      <c r="L230">
        <f>L229+1</f>
        <v>2</v>
      </c>
      <c r="M230">
        <v>43</v>
      </c>
      <c r="N230" s="3">
        <f t="shared" si="52"/>
        <v>0.7657178733947808</v>
      </c>
      <c r="R230" s="3">
        <f>LOG10(N230)</f>
        <v>-0.1159312154813111</v>
      </c>
      <c r="S230">
        <v>12</v>
      </c>
      <c r="T230">
        <v>1</v>
      </c>
      <c r="U230" s="5">
        <f>T230*S230</f>
        <v>12</v>
      </c>
    </row>
    <row r="231" spans="1:21" ht="12.75">
      <c r="A231">
        <f aca="true" t="shared" si="53" ref="A231:A241">A230+1</f>
        <v>3</v>
      </c>
      <c r="B231">
        <v>36</v>
      </c>
      <c r="C231" s="3">
        <v>0.48</v>
      </c>
      <c r="G231" s="3">
        <f>LOG10(C231)</f>
        <v>-0.3187587626244128</v>
      </c>
      <c r="H231">
        <v>17</v>
      </c>
      <c r="I231">
        <v>0.8</v>
      </c>
      <c r="J231" s="5">
        <f t="shared" si="51"/>
        <v>13.600000000000001</v>
      </c>
      <c r="L231">
        <f aca="true" t="shared" si="54" ref="L231:L241">L230+1</f>
        <v>3</v>
      </c>
      <c r="M231">
        <v>36</v>
      </c>
      <c r="N231" s="3">
        <f t="shared" si="52"/>
        <v>0.6539264674066639</v>
      </c>
      <c r="R231" s="3">
        <f>LOG10(N231)</f>
        <v>-0.18447108438973517</v>
      </c>
      <c r="S231">
        <v>17</v>
      </c>
      <c r="T231">
        <v>0.8</v>
      </c>
      <c r="U231" s="5">
        <f>T231*S231</f>
        <v>13.600000000000001</v>
      </c>
    </row>
    <row r="232" spans="1:21" ht="12.75">
      <c r="A232">
        <f t="shared" si="53"/>
        <v>4</v>
      </c>
      <c r="B232">
        <v>35</v>
      </c>
      <c r="C232" s="3">
        <v>0.505</v>
      </c>
      <c r="G232" s="3">
        <f aca="true" t="shared" si="55" ref="G232:G244">LOG10(C232)</f>
        <v>-0.2967086218813386</v>
      </c>
      <c r="H232">
        <v>10</v>
      </c>
      <c r="I232">
        <v>0.8</v>
      </c>
      <c r="J232" s="5">
        <f t="shared" si="51"/>
        <v>8</v>
      </c>
      <c r="L232">
        <f t="shared" si="54"/>
        <v>4</v>
      </c>
      <c r="M232">
        <v>35</v>
      </c>
      <c r="N232" s="3">
        <f t="shared" si="52"/>
        <v>0.7031975164134467</v>
      </c>
      <c r="R232" s="3">
        <f aca="true" t="shared" si="56" ref="R232:R244">LOG10(N232)</f>
        <v>-0.15292267179355662</v>
      </c>
      <c r="S232">
        <v>10</v>
      </c>
      <c r="T232">
        <v>0.8</v>
      </c>
      <c r="U232" s="5">
        <f aca="true" t="shared" si="57" ref="U232:U248">T232*S233</f>
        <v>8</v>
      </c>
    </row>
    <row r="233" spans="1:21" ht="12.75">
      <c r="A233">
        <f t="shared" si="53"/>
        <v>5</v>
      </c>
      <c r="B233">
        <v>26</v>
      </c>
      <c r="C233" s="3">
        <v>0.46</v>
      </c>
      <c r="G233" s="3">
        <f t="shared" si="55"/>
        <v>-0.3372421683184259</v>
      </c>
      <c r="H233">
        <v>10</v>
      </c>
      <c r="I233">
        <v>0.8</v>
      </c>
      <c r="J233" s="5">
        <f t="shared" si="51"/>
        <v>8</v>
      </c>
      <c r="L233">
        <f t="shared" si="54"/>
        <v>5</v>
      </c>
      <c r="M233">
        <v>26</v>
      </c>
      <c r="N233" s="3">
        <f t="shared" si="52"/>
        <v>0.616186139423817</v>
      </c>
      <c r="R233" s="3">
        <f t="shared" si="56"/>
        <v>-0.21028807498930588</v>
      </c>
      <c r="S233">
        <v>10</v>
      </c>
      <c r="T233">
        <v>0.8</v>
      </c>
      <c r="U233" s="5">
        <f t="shared" si="57"/>
        <v>10.4</v>
      </c>
    </row>
    <row r="234" spans="1:21" ht="12.75">
      <c r="A234">
        <f t="shared" si="53"/>
        <v>6</v>
      </c>
      <c r="B234">
        <v>31</v>
      </c>
      <c r="C234" s="3">
        <v>0.485</v>
      </c>
      <c r="G234" s="3">
        <f t="shared" si="55"/>
        <v>-0.3142582613977364</v>
      </c>
      <c r="H234">
        <v>13</v>
      </c>
      <c r="I234">
        <v>1</v>
      </c>
      <c r="J234" s="5">
        <f t="shared" si="51"/>
        <v>13</v>
      </c>
      <c r="L234">
        <f t="shared" si="54"/>
        <v>6</v>
      </c>
      <c r="M234">
        <v>31</v>
      </c>
      <c r="N234" s="3">
        <f t="shared" si="52"/>
        <v>0.6635883783184009</v>
      </c>
      <c r="R234" s="3">
        <f t="shared" si="56"/>
        <v>-0.17810122854940347</v>
      </c>
      <c r="S234">
        <v>13</v>
      </c>
      <c r="T234">
        <v>1</v>
      </c>
      <c r="U234" s="5">
        <f t="shared" si="57"/>
        <v>10</v>
      </c>
    </row>
    <row r="235" spans="1:21" ht="12.75">
      <c r="A235">
        <f t="shared" si="53"/>
        <v>7</v>
      </c>
      <c r="B235">
        <v>36</v>
      </c>
      <c r="C235" s="3">
        <v>0.575</v>
      </c>
      <c r="G235" s="3">
        <f t="shared" si="55"/>
        <v>-0.24033215531036953</v>
      </c>
      <c r="H235">
        <v>10</v>
      </c>
      <c r="I235">
        <v>1.2</v>
      </c>
      <c r="J235" s="5">
        <f t="shared" si="51"/>
        <v>12</v>
      </c>
      <c r="L235">
        <f t="shared" si="54"/>
        <v>7</v>
      </c>
      <c r="M235">
        <v>36</v>
      </c>
      <c r="N235" s="3">
        <f t="shared" si="52"/>
        <v>0.8556661100577201</v>
      </c>
      <c r="R235" s="3">
        <f t="shared" si="56"/>
        <v>-0.06769566855574463</v>
      </c>
      <c r="S235">
        <v>10</v>
      </c>
      <c r="T235">
        <v>1.2</v>
      </c>
      <c r="U235" s="5">
        <f t="shared" si="57"/>
        <v>9.6</v>
      </c>
    </row>
    <row r="236" spans="1:21" ht="12.75">
      <c r="A236">
        <f t="shared" si="53"/>
        <v>8</v>
      </c>
      <c r="B236">
        <v>33</v>
      </c>
      <c r="C236" s="3">
        <v>0.54</v>
      </c>
      <c r="G236" s="3">
        <f t="shared" si="55"/>
        <v>-0.2676062401770315</v>
      </c>
      <c r="H236">
        <v>8</v>
      </c>
      <c r="I236">
        <v>1.2</v>
      </c>
      <c r="J236" s="5">
        <f t="shared" si="51"/>
        <v>9.6</v>
      </c>
      <c r="L236">
        <f t="shared" si="54"/>
        <v>8</v>
      </c>
      <c r="M236">
        <v>33</v>
      </c>
      <c r="N236" s="3">
        <f t="shared" si="52"/>
        <v>0.7765287894989965</v>
      </c>
      <c r="R236" s="3">
        <f t="shared" si="56"/>
        <v>-0.1098424383400924</v>
      </c>
      <c r="S236">
        <v>8</v>
      </c>
      <c r="T236">
        <v>1.2</v>
      </c>
      <c r="U236" s="5">
        <f t="shared" si="57"/>
        <v>9.6</v>
      </c>
    </row>
    <row r="237" spans="1:21" ht="12.75">
      <c r="A237">
        <f t="shared" si="53"/>
        <v>9</v>
      </c>
      <c r="B237">
        <v>26</v>
      </c>
      <c r="C237" s="3">
        <v>0.615</v>
      </c>
      <c r="G237" s="3">
        <f t="shared" si="55"/>
        <v>-0.21112488422458328</v>
      </c>
      <c r="H237">
        <v>8</v>
      </c>
      <c r="I237">
        <v>1.4</v>
      </c>
      <c r="J237" s="5">
        <f t="shared" si="51"/>
        <v>11.2</v>
      </c>
      <c r="L237">
        <f t="shared" si="54"/>
        <v>9</v>
      </c>
      <c r="M237">
        <v>26</v>
      </c>
      <c r="N237" s="3">
        <f t="shared" si="52"/>
        <v>0.9545119446943529</v>
      </c>
      <c r="R237" s="3">
        <f t="shared" si="56"/>
        <v>-0.02021863250615806</v>
      </c>
      <c r="S237">
        <v>8</v>
      </c>
      <c r="T237">
        <v>1.4</v>
      </c>
      <c r="U237" s="5">
        <f t="shared" si="57"/>
        <v>30.799999999999997</v>
      </c>
    </row>
    <row r="238" spans="1:21" ht="12.75">
      <c r="A238">
        <f t="shared" si="53"/>
        <v>10</v>
      </c>
      <c r="B238">
        <v>28</v>
      </c>
      <c r="C238" s="3">
        <v>0.51</v>
      </c>
      <c r="G238" s="3">
        <f t="shared" si="55"/>
        <v>-0.2924298239020636</v>
      </c>
      <c r="H238">
        <v>22</v>
      </c>
      <c r="I238">
        <v>0.5</v>
      </c>
      <c r="J238" s="5">
        <f t="shared" si="51"/>
        <v>11</v>
      </c>
      <c r="L238">
        <f t="shared" si="54"/>
        <v>10</v>
      </c>
      <c r="M238">
        <v>28</v>
      </c>
      <c r="N238" s="3">
        <f t="shared" si="52"/>
        <v>0.7133498878774648</v>
      </c>
      <c r="R238" s="3">
        <f t="shared" si="56"/>
        <v>-0.1466974026829814</v>
      </c>
      <c r="S238">
        <v>22</v>
      </c>
      <c r="T238">
        <v>0.5</v>
      </c>
      <c r="U238" s="5">
        <f t="shared" si="57"/>
        <v>5.5</v>
      </c>
    </row>
    <row r="239" spans="1:21" ht="12.75">
      <c r="A239">
        <f t="shared" si="53"/>
        <v>11</v>
      </c>
      <c r="B239">
        <v>27</v>
      </c>
      <c r="C239" s="3">
        <v>0.395</v>
      </c>
      <c r="G239" s="3">
        <f t="shared" si="55"/>
        <v>-0.40340290437353976</v>
      </c>
      <c r="H239">
        <v>11</v>
      </c>
      <c r="I239">
        <v>1</v>
      </c>
      <c r="J239" s="5">
        <f t="shared" si="51"/>
        <v>11</v>
      </c>
      <c r="L239">
        <f t="shared" si="54"/>
        <v>11</v>
      </c>
      <c r="M239">
        <v>27</v>
      </c>
      <c r="N239" s="3">
        <f t="shared" si="52"/>
        <v>0.5025268209512956</v>
      </c>
      <c r="R239" s="3">
        <f t="shared" si="56"/>
        <v>-0.29884075404618615</v>
      </c>
      <c r="S239">
        <v>11</v>
      </c>
      <c r="T239">
        <v>1</v>
      </c>
      <c r="U239" s="5">
        <f t="shared" si="57"/>
        <v>17</v>
      </c>
    </row>
    <row r="240" spans="1:21" ht="12.75">
      <c r="A240">
        <f t="shared" si="53"/>
        <v>12</v>
      </c>
      <c r="B240">
        <v>25</v>
      </c>
      <c r="C240" s="3">
        <v>0.52</v>
      </c>
      <c r="E240" t="s">
        <v>519</v>
      </c>
      <c r="G240" s="3">
        <f t="shared" si="55"/>
        <v>-0.2839966563652008</v>
      </c>
      <c r="H240">
        <v>17</v>
      </c>
      <c r="I240">
        <v>0.5</v>
      </c>
      <c r="J240" s="5">
        <f t="shared" si="51"/>
        <v>8.5</v>
      </c>
      <c r="L240">
        <f t="shared" si="54"/>
        <v>12</v>
      </c>
      <c r="M240">
        <v>25</v>
      </c>
      <c r="N240" s="3">
        <f t="shared" si="52"/>
        <v>0.7339691750802004</v>
      </c>
      <c r="P240" t="s">
        <v>519</v>
      </c>
      <c r="R240" s="3">
        <f t="shared" si="56"/>
        <v>-0.1343221790126526</v>
      </c>
      <c r="S240">
        <v>17</v>
      </c>
      <c r="T240">
        <v>0.5</v>
      </c>
      <c r="U240" s="5">
        <f t="shared" si="57"/>
        <v>6</v>
      </c>
    </row>
    <row r="241" spans="1:21" ht="12.75">
      <c r="A241">
        <f t="shared" si="53"/>
        <v>13</v>
      </c>
      <c r="B241">
        <v>32</v>
      </c>
      <c r="C241" s="3">
        <v>0.605</v>
      </c>
      <c r="E241">
        <f>COUNT(C229:C249)</f>
        <v>21</v>
      </c>
      <c r="G241" s="3">
        <f t="shared" si="55"/>
        <v>-0.21824462534753114</v>
      </c>
      <c r="H241">
        <v>12</v>
      </c>
      <c r="I241">
        <v>0.9</v>
      </c>
      <c r="J241" s="5">
        <f t="shared" si="51"/>
        <v>10.8</v>
      </c>
      <c r="L241">
        <f t="shared" si="54"/>
        <v>13</v>
      </c>
      <c r="M241">
        <v>32</v>
      </c>
      <c r="N241" s="3">
        <f t="shared" si="52"/>
        <v>0.9288695140810151</v>
      </c>
      <c r="P241">
        <f>COUNT(N229:N249)</f>
        <v>21</v>
      </c>
      <c r="R241" s="3">
        <f t="shared" si="56"/>
        <v>-0.03204529062939001</v>
      </c>
      <c r="S241">
        <v>12</v>
      </c>
      <c r="T241">
        <v>0.9</v>
      </c>
      <c r="U241" s="5">
        <f t="shared" si="57"/>
        <v>11.700000000000001</v>
      </c>
    </row>
    <row r="242" spans="1:21" ht="12.75">
      <c r="A242">
        <v>15</v>
      </c>
      <c r="B242">
        <v>40</v>
      </c>
      <c r="C242" s="3">
        <v>0.455</v>
      </c>
      <c r="E242" t="s">
        <v>598</v>
      </c>
      <c r="G242" s="3">
        <f t="shared" si="55"/>
        <v>-0.34198860334288755</v>
      </c>
      <c r="H242">
        <v>13</v>
      </c>
      <c r="I242">
        <v>1</v>
      </c>
      <c r="J242" s="5">
        <f t="shared" si="51"/>
        <v>13</v>
      </c>
      <c r="L242">
        <v>15</v>
      </c>
      <c r="M242">
        <v>40</v>
      </c>
      <c r="N242" s="3">
        <f t="shared" si="52"/>
        <v>0.6069694843188931</v>
      </c>
      <c r="P242" t="s">
        <v>598</v>
      </c>
      <c r="R242" s="3">
        <f t="shared" si="56"/>
        <v>-0.21683314273867305</v>
      </c>
      <c r="S242">
        <v>13</v>
      </c>
      <c r="T242">
        <v>1</v>
      </c>
      <c r="U242" s="5">
        <f t="shared" si="57"/>
        <v>14</v>
      </c>
    </row>
    <row r="243" spans="1:21" ht="12.75">
      <c r="A243">
        <f>A242+1</f>
        <v>16</v>
      </c>
      <c r="B243">
        <v>40</v>
      </c>
      <c r="C243" s="3">
        <v>0.42</v>
      </c>
      <c r="E243" s="3">
        <f>AVERAGE(C229:C249)</f>
        <v>0.48333333333333334</v>
      </c>
      <c r="G243" s="3">
        <f t="shared" si="55"/>
        <v>-0.37675070960209955</v>
      </c>
      <c r="H243">
        <v>14</v>
      </c>
      <c r="I243">
        <v>0.4</v>
      </c>
      <c r="J243" s="5">
        <f t="shared" si="51"/>
        <v>5.6000000000000005</v>
      </c>
      <c r="L243">
        <f>L242+1</f>
        <v>16</v>
      </c>
      <c r="M243">
        <v>40</v>
      </c>
      <c r="N243" s="3">
        <f t="shared" si="52"/>
        <v>0.5447271754416719</v>
      </c>
      <c r="P243" s="3">
        <f>AVERAGE(N229:N249)</f>
        <v>0.6760076188452588</v>
      </c>
      <c r="R243" s="3">
        <f t="shared" si="56"/>
        <v>-0.26382095802967165</v>
      </c>
      <c r="S243">
        <v>14</v>
      </c>
      <c r="T243">
        <v>0.4</v>
      </c>
      <c r="U243" s="5">
        <f t="shared" si="57"/>
        <v>4.800000000000001</v>
      </c>
    </row>
    <row r="244" spans="1:21" ht="12.75">
      <c r="A244">
        <f>A243+1</f>
        <v>17</v>
      </c>
      <c r="B244">
        <v>28</v>
      </c>
      <c r="C244" s="3">
        <v>0.565</v>
      </c>
      <c r="E244" t="s">
        <v>431</v>
      </c>
      <c r="G244" s="3">
        <f t="shared" si="55"/>
        <v>-0.2479515521805615</v>
      </c>
      <c r="H244">
        <v>12</v>
      </c>
      <c r="I244">
        <v>1.1</v>
      </c>
      <c r="J244" s="5">
        <f t="shared" si="51"/>
        <v>13.200000000000001</v>
      </c>
      <c r="L244">
        <f>L243+1</f>
        <v>17</v>
      </c>
      <c r="M244">
        <v>28</v>
      </c>
      <c r="N244" s="3">
        <f t="shared" si="52"/>
        <v>0.8324092478934528</v>
      </c>
      <c r="P244" t="s">
        <v>431</v>
      </c>
      <c r="R244" s="3">
        <f t="shared" si="56"/>
        <v>-0.07966310351232618</v>
      </c>
      <c r="S244">
        <v>12</v>
      </c>
      <c r="T244">
        <v>1.1</v>
      </c>
      <c r="U244" s="5">
        <f t="shared" si="57"/>
        <v>17.6</v>
      </c>
    </row>
    <row r="245" spans="1:21" ht="12.75">
      <c r="A245">
        <v>20</v>
      </c>
      <c r="B245">
        <v>28</v>
      </c>
      <c r="C245" s="3">
        <v>0.3</v>
      </c>
      <c r="E245" s="3">
        <f>STDEV(C229:C249)</f>
        <v>0.09754913291943348</v>
      </c>
      <c r="G245" s="3">
        <f>LOG10(C245)</f>
        <v>-0.5228787452803376</v>
      </c>
      <c r="H245">
        <v>16</v>
      </c>
      <c r="I245">
        <v>0.45</v>
      </c>
      <c r="J245" s="5">
        <f t="shared" si="51"/>
        <v>7.2</v>
      </c>
      <c r="L245">
        <v>20</v>
      </c>
      <c r="M245">
        <v>28</v>
      </c>
      <c r="N245" s="3">
        <f t="shared" si="52"/>
        <v>0.3566749439387324</v>
      </c>
      <c r="P245" s="3">
        <f>STDEV(N229:N249)</f>
        <v>0.1781676371015129</v>
      </c>
      <c r="R245" s="3">
        <f>LOG10(N245)</f>
        <v>-0.44772739834696257</v>
      </c>
      <c r="S245">
        <v>16</v>
      </c>
      <c r="T245">
        <v>0.45</v>
      </c>
      <c r="U245" s="5">
        <f t="shared" si="57"/>
        <v>7.2</v>
      </c>
    </row>
    <row r="246" spans="1:21" ht="12.75">
      <c r="A246">
        <f>A245+1</f>
        <v>21</v>
      </c>
      <c r="B246">
        <v>35</v>
      </c>
      <c r="C246" s="3">
        <v>0.22</v>
      </c>
      <c r="E246" t="s">
        <v>126</v>
      </c>
      <c r="F246" s="89" t="s">
        <v>323</v>
      </c>
      <c r="G246" s="3">
        <f>LOG10(C246)</f>
        <v>-0.6575773191777937</v>
      </c>
      <c r="H246">
        <v>16</v>
      </c>
      <c r="I246">
        <v>0.7</v>
      </c>
      <c r="J246" s="5">
        <f>I246*H246</f>
        <v>11.2</v>
      </c>
      <c r="L246">
        <f>L245+1</f>
        <v>21</v>
      </c>
      <c r="M246">
        <v>35</v>
      </c>
      <c r="N246" s="3">
        <f t="shared" si="52"/>
        <v>0.24846135929849958</v>
      </c>
      <c r="P246" t="s">
        <v>126</v>
      </c>
      <c r="Q246" s="89" t="s">
        <v>323</v>
      </c>
      <c r="R246" s="3">
        <f>LOG10(N246)</f>
        <v>-0.6047411431410941</v>
      </c>
      <c r="S246">
        <v>16</v>
      </c>
      <c r="T246">
        <v>0.7</v>
      </c>
      <c r="U246" s="5">
        <f t="shared" si="57"/>
        <v>11.2</v>
      </c>
    </row>
    <row r="247" spans="1:21" ht="12.75">
      <c r="A247">
        <v>23</v>
      </c>
      <c r="B247">
        <v>26</v>
      </c>
      <c r="C247" s="3">
        <v>0.41</v>
      </c>
      <c r="E247" s="3">
        <f>EXP(SQRT(LN(POWER(E245,2)/POWER(E243,2)+1)))</f>
        <v>1.2211764018864726</v>
      </c>
      <c r="F247" s="90">
        <f>F249/E249</f>
        <v>1.2126352788261645</v>
      </c>
      <c r="G247" s="3">
        <f>LOG10(C247)</f>
        <v>-0.38721614328026455</v>
      </c>
      <c r="H247">
        <v>16</v>
      </c>
      <c r="I247">
        <v>0.75</v>
      </c>
      <c r="J247" s="5">
        <f>I247*H247</f>
        <v>12</v>
      </c>
      <c r="L247">
        <v>23</v>
      </c>
      <c r="M247">
        <v>26</v>
      </c>
      <c r="N247" s="3">
        <f t="shared" si="52"/>
        <v>0.5276327420823718</v>
      </c>
      <c r="P247" s="3">
        <f>EXP(SQRT(LN(POWER(P245,2)/POWER(P243,2)+1)))</f>
        <v>1.2958233365438139</v>
      </c>
      <c r="Q247" s="90">
        <f>Q249/P249</f>
        <v>1.2359504145112366</v>
      </c>
      <c r="R247" s="3">
        <f>LOG10(N247)</f>
        <v>-0.27766826228319447</v>
      </c>
      <c r="S247">
        <v>16</v>
      </c>
      <c r="T247">
        <v>0.75</v>
      </c>
      <c r="U247" s="5">
        <f t="shared" si="57"/>
        <v>9</v>
      </c>
    </row>
    <row r="248" spans="1:21" ht="12.75">
      <c r="A248">
        <f>A247+1</f>
        <v>24</v>
      </c>
      <c r="B248">
        <v>35</v>
      </c>
      <c r="C248" s="3">
        <v>0.545</v>
      </c>
      <c r="E248" t="s">
        <v>384</v>
      </c>
      <c r="F248" t="s">
        <v>384</v>
      </c>
      <c r="G248" s="3">
        <f>LOG10(C248)</f>
        <v>-0.2636034977233575</v>
      </c>
      <c r="H248">
        <v>12</v>
      </c>
      <c r="I248">
        <v>1</v>
      </c>
      <c r="J248" s="5">
        <f>I248*H248</f>
        <v>12</v>
      </c>
      <c r="L248">
        <f>L247+1</f>
        <v>24</v>
      </c>
      <c r="M248">
        <v>35</v>
      </c>
      <c r="N248" s="3">
        <f t="shared" si="52"/>
        <v>0.7874578600311867</v>
      </c>
      <c r="P248" t="s">
        <v>384</v>
      </c>
      <c r="Q248" t="s">
        <v>384</v>
      </c>
      <c r="R248" s="3">
        <f>LOG10(N248)</f>
        <v>-0.10377267772324811</v>
      </c>
      <c r="S248">
        <v>12</v>
      </c>
      <c r="T248">
        <v>1</v>
      </c>
      <c r="U248" s="5">
        <f t="shared" si="57"/>
        <v>14</v>
      </c>
    </row>
    <row r="249" spans="1:21" ht="12.75">
      <c r="A249">
        <v>25</v>
      </c>
      <c r="B249">
        <v>24</v>
      </c>
      <c r="C249" s="3">
        <v>0.44</v>
      </c>
      <c r="E249" s="40">
        <f>LOG10(E247)</f>
        <v>0.08677840336531618</v>
      </c>
      <c r="F249" s="94">
        <f>STDEV(G229:G249)</f>
        <v>0.10523055336098956</v>
      </c>
      <c r="G249" s="3">
        <f>LOG10(C249)</f>
        <v>-0.3565473235138126</v>
      </c>
      <c r="H249">
        <v>14</v>
      </c>
      <c r="I249">
        <v>0.4</v>
      </c>
      <c r="J249" s="5">
        <f>I249*H249</f>
        <v>5.6000000000000005</v>
      </c>
      <c r="L249">
        <v>25</v>
      </c>
      <c r="M249">
        <v>24</v>
      </c>
      <c r="N249" s="3">
        <f t="shared" si="52"/>
        <v>0.579818495252942</v>
      </c>
      <c r="P249" s="40">
        <f>LOG10(P247)</f>
        <v>0.1125457969096199</v>
      </c>
      <c r="Q249" s="178">
        <f>STDEV(R229:R249)</f>
        <v>0.13910102434194216</v>
      </c>
      <c r="R249" s="3">
        <f>LOG10(N249)</f>
        <v>-0.2367079354829482</v>
      </c>
      <c r="S249">
        <v>14</v>
      </c>
      <c r="T249">
        <v>0.4</v>
      </c>
      <c r="U249" s="5">
        <f>T249*N253</f>
        <v>0</v>
      </c>
    </row>
    <row r="250" spans="3:21" ht="12.75">
      <c r="C250" s="3"/>
      <c r="E250" s="40"/>
      <c r="F250" s="6"/>
      <c r="G250" s="3"/>
      <c r="J250" s="5"/>
      <c r="N250" s="3"/>
      <c r="P250" s="40"/>
      <c r="Q250" s="6"/>
      <c r="R250" s="3"/>
      <c r="U250" s="5"/>
    </row>
    <row r="251" spans="1:21" ht="15.75">
      <c r="A251" s="61" t="s">
        <v>186</v>
      </c>
      <c r="C251" s="3"/>
      <c r="E251" s="40"/>
      <c r="F251" s="6"/>
      <c r="G251" s="3"/>
      <c r="J251" s="5"/>
      <c r="L251" s="61" t="s">
        <v>186</v>
      </c>
      <c r="N251" s="3"/>
      <c r="P251" s="40"/>
      <c r="Q251" s="6"/>
      <c r="R251" s="3"/>
      <c r="U251" s="5"/>
    </row>
    <row r="252" spans="1:21" ht="15.75">
      <c r="A252" s="61" t="s">
        <v>187</v>
      </c>
      <c r="C252" s="3"/>
      <c r="E252" s="40"/>
      <c r="F252" s="6"/>
      <c r="G252" s="3"/>
      <c r="J252" s="5"/>
      <c r="L252" s="61" t="s">
        <v>187</v>
      </c>
      <c r="N252" s="3"/>
      <c r="P252" s="40"/>
      <c r="Q252" s="6"/>
      <c r="R252" s="3"/>
      <c r="U252" s="5"/>
    </row>
    <row r="254" spans="1:12" ht="12.75">
      <c r="A254" s="58" t="s">
        <v>421</v>
      </c>
      <c r="L254" s="58" t="s">
        <v>421</v>
      </c>
    </row>
    <row r="255" spans="1:12" ht="12.75">
      <c r="A255" s="59" t="s">
        <v>55</v>
      </c>
      <c r="L255" s="59" t="s">
        <v>55</v>
      </c>
    </row>
    <row r="256" spans="1:18" ht="12.75">
      <c r="A256" t="s">
        <v>127</v>
      </c>
      <c r="B256" t="s">
        <v>509</v>
      </c>
      <c r="C256" t="s">
        <v>414</v>
      </c>
      <c r="D256" t="s">
        <v>519</v>
      </c>
      <c r="E256" t="s">
        <v>598</v>
      </c>
      <c r="G256" t="s">
        <v>207</v>
      </c>
      <c r="L256" t="s">
        <v>127</v>
      </c>
      <c r="M256" t="s">
        <v>509</v>
      </c>
      <c r="N256" t="s">
        <v>414</v>
      </c>
      <c r="O256" t="s">
        <v>519</v>
      </c>
      <c r="P256" t="s">
        <v>598</v>
      </c>
      <c r="R256" t="s">
        <v>207</v>
      </c>
    </row>
    <row r="257" spans="1:18" ht="12.75">
      <c r="A257">
        <v>5</v>
      </c>
      <c r="B257">
        <v>26</v>
      </c>
      <c r="C257" s="3">
        <v>0.37</v>
      </c>
      <c r="D257" s="60">
        <f>COUNT(C257:C263)</f>
        <v>7</v>
      </c>
      <c r="E257" s="3">
        <f>AVERAGE(C257:C263)</f>
        <v>0.31714285714285717</v>
      </c>
      <c r="G257" s="3">
        <f aca="true" t="shared" si="58" ref="G257:G263">LOG10(C257)</f>
        <v>-0.431798275933005</v>
      </c>
      <c r="L257">
        <v>5</v>
      </c>
      <c r="M257">
        <v>26</v>
      </c>
      <c r="N257" s="3">
        <f aca="true" t="shared" si="59" ref="N257:N263">-LN(1-C257)</f>
        <v>0.4620354595965587</v>
      </c>
      <c r="O257" s="60">
        <f>COUNT(N257:N263)</f>
        <v>7</v>
      </c>
      <c r="P257" s="3">
        <f>AVERAGE(N257:N263)</f>
        <v>0.3845398964181637</v>
      </c>
      <c r="R257" s="3">
        <f aca="true" t="shared" si="60" ref="R257:R263">LOG10(N257)</f>
        <v>-0.33532469259072195</v>
      </c>
    </row>
    <row r="258" spans="1:18" ht="12.75">
      <c r="A258">
        <v>11</v>
      </c>
      <c r="B258">
        <v>27</v>
      </c>
      <c r="C258" s="3">
        <v>0.27</v>
      </c>
      <c r="E258" t="s">
        <v>431</v>
      </c>
      <c r="G258" s="3">
        <f t="shared" si="58"/>
        <v>-0.5686362358410126</v>
      </c>
      <c r="L258">
        <v>11</v>
      </c>
      <c r="M258">
        <v>27</v>
      </c>
      <c r="N258" s="3">
        <f t="shared" si="59"/>
        <v>0.31471074483970024</v>
      </c>
      <c r="P258" t="s">
        <v>431</v>
      </c>
      <c r="R258" s="3">
        <f t="shared" si="60"/>
        <v>-0.5020884291715288</v>
      </c>
    </row>
    <row r="259" spans="1:18" ht="12.75">
      <c r="A259">
        <v>15</v>
      </c>
      <c r="B259">
        <v>40</v>
      </c>
      <c r="C259" s="3">
        <v>0.36</v>
      </c>
      <c r="E259" s="3">
        <f>STDEV(C257:C263)</f>
        <v>0.05765248931147299</v>
      </c>
      <c r="G259" s="3">
        <f t="shared" si="58"/>
        <v>-0.44369749923271273</v>
      </c>
      <c r="L259">
        <v>15</v>
      </c>
      <c r="M259">
        <v>40</v>
      </c>
      <c r="N259" s="3">
        <f t="shared" si="59"/>
        <v>0.44628710262841953</v>
      </c>
      <c r="P259" s="3">
        <f>STDEV(N257:N263)</f>
        <v>0.08473972684031619</v>
      </c>
      <c r="R259" s="3">
        <f t="shared" si="60"/>
        <v>-0.350385663771713</v>
      </c>
    </row>
    <row r="260" spans="1:18" ht="12.75">
      <c r="A260">
        <f>A259+1</f>
        <v>16</v>
      </c>
      <c r="B260">
        <v>40</v>
      </c>
      <c r="C260" s="3">
        <v>0.32</v>
      </c>
      <c r="E260" t="s">
        <v>126</v>
      </c>
      <c r="F260" s="89" t="s">
        <v>323</v>
      </c>
      <c r="G260" s="3">
        <f t="shared" si="58"/>
        <v>-0.494850021680094</v>
      </c>
      <c r="L260">
        <f>L259+1</f>
        <v>16</v>
      </c>
      <c r="M260">
        <v>40</v>
      </c>
      <c r="N260" s="3">
        <f t="shared" si="59"/>
        <v>0.3856624808119848</v>
      </c>
      <c r="P260" t="s">
        <v>126</v>
      </c>
      <c r="Q260" s="89" t="s">
        <v>323</v>
      </c>
      <c r="R260" s="3">
        <f t="shared" si="60"/>
        <v>-0.41379260943288027</v>
      </c>
    </row>
    <row r="261" spans="1:18" ht="12.75">
      <c r="A261">
        <v>20</v>
      </c>
      <c r="B261">
        <v>28</v>
      </c>
      <c r="C261" s="3">
        <v>0.26</v>
      </c>
      <c r="E261" s="3">
        <f>EXP(SQRT(LN(POWER(E259,2)/POWER(E257,2)+1)))</f>
        <v>1.197590436662073</v>
      </c>
      <c r="F261" s="90">
        <f>F263/E263</f>
        <v>1.0205700190985603</v>
      </c>
      <c r="G261" s="3">
        <f t="shared" si="58"/>
        <v>-0.585026652029182</v>
      </c>
      <c r="L261">
        <v>20</v>
      </c>
      <c r="M261">
        <v>28</v>
      </c>
      <c r="N261" s="3">
        <f t="shared" si="59"/>
        <v>0.30110509278392167</v>
      </c>
      <c r="P261" s="3">
        <f>EXP(SQRT(LN(POWER(P259,2)/POWER(P257,2)+1)))</f>
        <v>1.2432878537754573</v>
      </c>
      <c r="Q261" s="90">
        <f>Q263/P263</f>
        <v>1.0268029176098392</v>
      </c>
      <c r="R261" s="3">
        <f t="shared" si="60"/>
        <v>-0.5212818989234742</v>
      </c>
    </row>
    <row r="262" spans="1:18" ht="12.75">
      <c r="A262">
        <f>A261+1</f>
        <v>21</v>
      </c>
      <c r="B262">
        <v>35</v>
      </c>
      <c r="C262" s="3">
        <v>0.25</v>
      </c>
      <c r="E262" t="s">
        <v>384</v>
      </c>
      <c r="F262" t="s">
        <v>384</v>
      </c>
      <c r="G262" s="3">
        <f t="shared" si="58"/>
        <v>-0.6020599913279624</v>
      </c>
      <c r="L262">
        <f>L261+1</f>
        <v>21</v>
      </c>
      <c r="M262">
        <v>35</v>
      </c>
      <c r="N262" s="3">
        <f t="shared" si="59"/>
        <v>0.2876820724517809</v>
      </c>
      <c r="P262" t="s">
        <v>384</v>
      </c>
      <c r="Q262" t="s">
        <v>384</v>
      </c>
      <c r="R262" s="3">
        <f t="shared" si="60"/>
        <v>-0.5410872012930469</v>
      </c>
    </row>
    <row r="263" spans="1:18" ht="12.75">
      <c r="A263">
        <v>24</v>
      </c>
      <c r="B263">
        <v>35</v>
      </c>
      <c r="C263" s="3">
        <v>0.39</v>
      </c>
      <c r="E263" s="40">
        <f>LOG10(E261)</f>
        <v>0.07830831929769362</v>
      </c>
      <c r="F263" s="6">
        <f>STDEV(G257:G264)</f>
        <v>0.07991912292122334</v>
      </c>
      <c r="G263" s="3">
        <f t="shared" si="58"/>
        <v>-0.40893539297350073</v>
      </c>
      <c r="L263">
        <v>24</v>
      </c>
      <c r="M263">
        <v>35</v>
      </c>
      <c r="N263" s="3">
        <f t="shared" si="59"/>
        <v>0.4942963218147801</v>
      </c>
      <c r="P263" s="40">
        <f>LOG10(P261)</f>
        <v>0.09457169085663113</v>
      </c>
      <c r="Q263" s="94">
        <f>STDEV(R257:R264)</f>
        <v>0.09710648809488459</v>
      </c>
      <c r="R263" s="3">
        <f t="shared" si="60"/>
        <v>-0.3060126212233984</v>
      </c>
    </row>
    <row r="264" spans="2:15" ht="12.75">
      <c r="B264" s="3"/>
      <c r="D264" s="3"/>
      <c r="M264" s="3"/>
      <c r="O264" s="3"/>
    </row>
    <row r="265" spans="1:12" ht="12.75">
      <c r="A265" s="58" t="s">
        <v>421</v>
      </c>
      <c r="L265" s="58" t="s">
        <v>421</v>
      </c>
    </row>
    <row r="266" spans="1:12" ht="12.75">
      <c r="A266" s="59" t="s">
        <v>3</v>
      </c>
      <c r="L266" s="59" t="s">
        <v>3</v>
      </c>
    </row>
    <row r="267" spans="1:18" ht="12.75">
      <c r="A267" t="s">
        <v>127</v>
      </c>
      <c r="B267" t="s">
        <v>509</v>
      </c>
      <c r="C267" t="s">
        <v>414</v>
      </c>
      <c r="D267" t="s">
        <v>519</v>
      </c>
      <c r="E267" t="s">
        <v>598</v>
      </c>
      <c r="G267" t="s">
        <v>207</v>
      </c>
      <c r="L267" t="s">
        <v>127</v>
      </c>
      <c r="M267" t="s">
        <v>509</v>
      </c>
      <c r="N267" t="s">
        <v>414</v>
      </c>
      <c r="O267" t="s">
        <v>519</v>
      </c>
      <c r="P267" t="s">
        <v>598</v>
      </c>
      <c r="R267" t="s">
        <v>207</v>
      </c>
    </row>
    <row r="268" spans="1:18" ht="12.75">
      <c r="A268">
        <v>5</v>
      </c>
      <c r="B268">
        <v>26</v>
      </c>
      <c r="C268" s="3">
        <v>0.34</v>
      </c>
      <c r="D268" s="60">
        <f>COUNT(C268:C274)</f>
        <v>7</v>
      </c>
      <c r="E268" s="3">
        <f>AVERAGE(C268:C274)</f>
        <v>0.3028571428571429</v>
      </c>
      <c r="G268" s="3">
        <f aca="true" t="shared" si="61" ref="G268:G274">LOG10(C268)</f>
        <v>-0.46852108295774486</v>
      </c>
      <c r="L268">
        <v>5</v>
      </c>
      <c r="M268">
        <v>26</v>
      </c>
      <c r="N268" s="3">
        <f aca="true" t="shared" si="62" ref="N268:N274">-LN(1-C268)</f>
        <v>0.4155154439616659</v>
      </c>
      <c r="O268" s="60">
        <f>COUNT(N268:N274)</f>
        <v>7</v>
      </c>
      <c r="P268" s="3">
        <f>AVERAGE(N268:N274)</f>
        <v>0.3658932425336018</v>
      </c>
      <c r="R268" s="3">
        <f aca="true" t="shared" si="63" ref="R268:R274">LOG10(N268)</f>
        <v>-0.38141282963515083</v>
      </c>
    </row>
    <row r="269" spans="1:18" ht="12.75">
      <c r="A269">
        <v>11</v>
      </c>
      <c r="B269">
        <v>27</v>
      </c>
      <c r="C269" s="3">
        <v>0.25</v>
      </c>
      <c r="E269" t="s">
        <v>431</v>
      </c>
      <c r="G269" s="3">
        <f t="shared" si="61"/>
        <v>-0.6020599913279624</v>
      </c>
      <c r="L269">
        <v>11</v>
      </c>
      <c r="M269">
        <v>27</v>
      </c>
      <c r="N269" s="3">
        <f t="shared" si="62"/>
        <v>0.2876820724517809</v>
      </c>
      <c r="P269" t="s">
        <v>431</v>
      </c>
      <c r="R269" s="3">
        <f t="shared" si="63"/>
        <v>-0.5410872012930469</v>
      </c>
    </row>
    <row r="270" spans="1:18" ht="12.75">
      <c r="A270">
        <v>15</v>
      </c>
      <c r="B270">
        <v>40</v>
      </c>
      <c r="C270" s="3">
        <v>0.36</v>
      </c>
      <c r="E270" s="3">
        <f>STDEV(C268:C274)</f>
        <v>0.07889112449325021</v>
      </c>
      <c r="G270" s="3">
        <f t="shared" si="61"/>
        <v>-0.44369749923271273</v>
      </c>
      <c r="L270">
        <v>15</v>
      </c>
      <c r="M270">
        <v>40</v>
      </c>
      <c r="N270" s="3">
        <f t="shared" si="62"/>
        <v>0.44628710262841953</v>
      </c>
      <c r="P270" s="3">
        <f>STDEV(N268:N274)</f>
        <v>0.10756002700410985</v>
      </c>
      <c r="R270" s="3">
        <f t="shared" si="63"/>
        <v>-0.350385663771713</v>
      </c>
    </row>
    <row r="271" spans="1:18" ht="12.75">
      <c r="A271">
        <f>A270+1</f>
        <v>16</v>
      </c>
      <c r="B271">
        <v>40</v>
      </c>
      <c r="C271" s="3">
        <v>0.36</v>
      </c>
      <c r="E271" t="s">
        <v>126</v>
      </c>
      <c r="F271" s="89" t="s">
        <v>323</v>
      </c>
      <c r="G271" s="3">
        <f t="shared" si="61"/>
        <v>-0.44369749923271273</v>
      </c>
      <c r="L271">
        <f>L270+1</f>
        <v>16</v>
      </c>
      <c r="M271">
        <v>40</v>
      </c>
      <c r="N271" s="3">
        <f t="shared" si="62"/>
        <v>0.44628710262841953</v>
      </c>
      <c r="P271" t="s">
        <v>126</v>
      </c>
      <c r="Q271" s="89" t="s">
        <v>323</v>
      </c>
      <c r="R271" s="3">
        <f t="shared" si="63"/>
        <v>-0.350385663771713</v>
      </c>
    </row>
    <row r="272" spans="1:18" ht="12.75">
      <c r="A272">
        <v>20</v>
      </c>
      <c r="B272">
        <v>28</v>
      </c>
      <c r="C272" s="3">
        <v>0.3</v>
      </c>
      <c r="E272" s="3">
        <f>EXP(SQRT(LN(POWER(E270,2)/POWER(E268,2)+1)))</f>
        <v>1.292044758365785</v>
      </c>
      <c r="F272" s="90">
        <f>F274/E274</f>
        <v>1.2577857756588624</v>
      </c>
      <c r="G272" s="3">
        <f t="shared" si="61"/>
        <v>-0.5228787452803376</v>
      </c>
      <c r="L272">
        <v>20</v>
      </c>
      <c r="M272">
        <v>28</v>
      </c>
      <c r="N272" s="3">
        <f t="shared" si="62"/>
        <v>0.3566749439387324</v>
      </c>
      <c r="P272" s="3">
        <f>EXP(SQRT(LN(POWER(P270,2)/POWER(P268,2)+1)))</f>
        <v>1.333618348187716</v>
      </c>
      <c r="Q272" s="90">
        <f>Q274/P274</f>
        <v>1.2947462677595472</v>
      </c>
      <c r="R272" s="3">
        <f t="shared" si="63"/>
        <v>-0.44772739834696257</v>
      </c>
    </row>
    <row r="273" spans="1:18" ht="12.75">
      <c r="A273">
        <f>A272+1</f>
        <v>21</v>
      </c>
      <c r="B273">
        <v>35</v>
      </c>
      <c r="C273" s="3">
        <v>0.15</v>
      </c>
      <c r="E273" t="s">
        <v>384</v>
      </c>
      <c r="F273" t="s">
        <v>384</v>
      </c>
      <c r="G273" s="3">
        <f t="shared" si="61"/>
        <v>-0.8239087409443188</v>
      </c>
      <c r="L273">
        <f>L272+1</f>
        <v>21</v>
      </c>
      <c r="M273">
        <v>35</v>
      </c>
      <c r="N273" s="3">
        <f t="shared" si="62"/>
        <v>0.1625189294977749</v>
      </c>
      <c r="P273" t="s">
        <v>384</v>
      </c>
      <c r="Q273" t="s">
        <v>384</v>
      </c>
      <c r="R273" s="3">
        <f t="shared" si="63"/>
        <v>-0.7890960470073316</v>
      </c>
    </row>
    <row r="274" spans="1:18" ht="12.75">
      <c r="A274">
        <v>24</v>
      </c>
      <c r="B274">
        <v>35</v>
      </c>
      <c r="C274" s="3">
        <v>0.36</v>
      </c>
      <c r="E274" s="40">
        <f>LOG10(E272)</f>
        <v>0.11127755853103855</v>
      </c>
      <c r="F274" s="6">
        <f>STDEV(G268:G275)</f>
        <v>0.13996333027038677</v>
      </c>
      <c r="G274" s="3">
        <f t="shared" si="61"/>
        <v>-0.44369749923271273</v>
      </c>
      <c r="L274">
        <v>24</v>
      </c>
      <c r="M274">
        <v>35</v>
      </c>
      <c r="N274" s="3">
        <f t="shared" si="62"/>
        <v>0.44628710262841953</v>
      </c>
      <c r="P274" s="40">
        <f>LOG10(P272)</f>
        <v>0.12503156197131476</v>
      </c>
      <c r="Q274" s="94">
        <f>STDEV(R268:R275)</f>
        <v>0.1618841482145063</v>
      </c>
      <c r="R274" s="3">
        <f t="shared" si="63"/>
        <v>-0.350385663771713</v>
      </c>
    </row>
    <row r="276" spans="1:12" ht="12.75">
      <c r="A276" s="58" t="s">
        <v>421</v>
      </c>
      <c r="L276" s="58" t="s">
        <v>421</v>
      </c>
    </row>
    <row r="277" spans="1:12" ht="12.75">
      <c r="A277" s="59" t="s">
        <v>4</v>
      </c>
      <c r="L277" s="59" t="s">
        <v>4</v>
      </c>
    </row>
    <row r="278" spans="1:18" ht="12.75">
      <c r="A278" t="s">
        <v>127</v>
      </c>
      <c r="B278" t="s">
        <v>509</v>
      </c>
      <c r="C278" t="s">
        <v>414</v>
      </c>
      <c r="D278" t="s">
        <v>519</v>
      </c>
      <c r="E278" t="s">
        <v>598</v>
      </c>
      <c r="G278" t="s">
        <v>207</v>
      </c>
      <c r="L278" t="s">
        <v>127</v>
      </c>
      <c r="M278" t="s">
        <v>509</v>
      </c>
      <c r="N278" t="s">
        <v>414</v>
      </c>
      <c r="O278" t="s">
        <v>519</v>
      </c>
      <c r="P278" t="s">
        <v>598</v>
      </c>
      <c r="R278" t="s">
        <v>207</v>
      </c>
    </row>
    <row r="279" spans="1:18" ht="12.75">
      <c r="A279">
        <v>5</v>
      </c>
      <c r="B279">
        <v>26</v>
      </c>
      <c r="C279" s="3">
        <v>0.35</v>
      </c>
      <c r="D279" s="60">
        <f>COUNT(C279:C285)</f>
        <v>7</v>
      </c>
      <c r="E279" s="3">
        <f>AVERAGE(C279:C285)</f>
        <v>0.32857142857142857</v>
      </c>
      <c r="G279" s="3">
        <f aca="true" t="shared" si="64" ref="G279:G285">LOG10(C279)</f>
        <v>-0.45593195564972444</v>
      </c>
      <c r="L279">
        <v>5</v>
      </c>
      <c r="M279">
        <v>26</v>
      </c>
      <c r="N279" s="3">
        <f aca="true" t="shared" si="65" ref="N279:N285">-LN(1-C279)</f>
        <v>0.43078291609245417</v>
      </c>
      <c r="O279" s="60">
        <f>COUNT(N279:N285)</f>
        <v>7</v>
      </c>
      <c r="P279" s="3">
        <f>AVERAGE(N279:N285)</f>
        <v>0.40485876401954185</v>
      </c>
      <c r="R279" s="3">
        <f aca="true" t="shared" si="66" ref="R279:R285">LOG10(N279)</f>
        <v>-0.36574152820110817</v>
      </c>
    </row>
    <row r="280" spans="1:18" ht="12.75">
      <c r="A280">
        <v>11</v>
      </c>
      <c r="B280">
        <v>27</v>
      </c>
      <c r="C280" s="3">
        <v>0.25</v>
      </c>
      <c r="E280" t="s">
        <v>431</v>
      </c>
      <c r="G280" s="3">
        <f t="shared" si="64"/>
        <v>-0.6020599913279624</v>
      </c>
      <c r="L280">
        <v>11</v>
      </c>
      <c r="M280">
        <v>27</v>
      </c>
      <c r="N280" s="3">
        <f t="shared" si="65"/>
        <v>0.2876820724517809</v>
      </c>
      <c r="P280" t="s">
        <v>431</v>
      </c>
      <c r="R280" s="3">
        <f t="shared" si="66"/>
        <v>-0.5410872012930469</v>
      </c>
    </row>
    <row r="281" spans="1:18" ht="12.75">
      <c r="A281">
        <v>15</v>
      </c>
      <c r="B281">
        <v>40</v>
      </c>
      <c r="C281" s="3">
        <v>0.36</v>
      </c>
      <c r="E281" s="3">
        <f>STDEV(C279:C285)</f>
        <v>0.08194074514114298</v>
      </c>
      <c r="G281" s="3">
        <f t="shared" si="64"/>
        <v>-0.44369749923271273</v>
      </c>
      <c r="L281">
        <v>15</v>
      </c>
      <c r="M281">
        <v>40</v>
      </c>
      <c r="N281" s="3">
        <f t="shared" si="65"/>
        <v>0.44628710262841953</v>
      </c>
      <c r="P281" s="3">
        <f>STDEV(N279:N285)</f>
        <v>0.12399163447195022</v>
      </c>
      <c r="R281" s="3">
        <f t="shared" si="66"/>
        <v>-0.350385663771713</v>
      </c>
    </row>
    <row r="282" spans="1:18" ht="12.75">
      <c r="A282">
        <f>A281+1</f>
        <v>16</v>
      </c>
      <c r="B282">
        <v>40</v>
      </c>
      <c r="C282" s="3">
        <v>0.36</v>
      </c>
      <c r="E282" t="s">
        <v>126</v>
      </c>
      <c r="F282" s="89" t="s">
        <v>323</v>
      </c>
      <c r="G282" s="3">
        <f t="shared" si="64"/>
        <v>-0.44369749923271273</v>
      </c>
      <c r="L282">
        <f>L281+1</f>
        <v>16</v>
      </c>
      <c r="M282">
        <v>40</v>
      </c>
      <c r="N282" s="3">
        <f t="shared" si="65"/>
        <v>0.44628710262841953</v>
      </c>
      <c r="P282" t="s">
        <v>126</v>
      </c>
      <c r="Q282" s="89" t="s">
        <v>323</v>
      </c>
      <c r="R282" s="3">
        <f t="shared" si="66"/>
        <v>-0.350385663771713</v>
      </c>
    </row>
    <row r="283" spans="1:18" ht="12.75">
      <c r="A283">
        <v>20</v>
      </c>
      <c r="B283">
        <v>28</v>
      </c>
      <c r="C283" s="3">
        <v>0.31</v>
      </c>
      <c r="E283" s="3">
        <f>EXP(SQRT(LN(POWER(E281,2)/POWER(E279,2)+1)))</f>
        <v>1.2784300317566402</v>
      </c>
      <c r="F283" s="90">
        <f>F285/E285</f>
        <v>1.0600883654066142</v>
      </c>
      <c r="G283" s="3">
        <f t="shared" si="64"/>
        <v>-0.5086383061657272</v>
      </c>
      <c r="L283">
        <v>20</v>
      </c>
      <c r="M283">
        <v>28</v>
      </c>
      <c r="N283" s="3">
        <f t="shared" si="65"/>
        <v>0.371063681390832</v>
      </c>
      <c r="P283" s="3">
        <f>EXP(SQRT(LN(POWER(P281,2)/POWER(P279,2)+1)))</f>
        <v>1.3490773958030016</v>
      </c>
      <c r="Q283" s="90">
        <f>Q285/P285</f>
        <v>1.0595544554280334</v>
      </c>
      <c r="R283" s="3">
        <f t="shared" si="66"/>
        <v>-0.4305515510229028</v>
      </c>
    </row>
    <row r="284" spans="1:18" ht="12.75">
      <c r="A284">
        <f>A283+1</f>
        <v>21</v>
      </c>
      <c r="B284">
        <v>35</v>
      </c>
      <c r="C284" s="3">
        <v>0.21</v>
      </c>
      <c r="E284" t="s">
        <v>384</v>
      </c>
      <c r="F284" t="s">
        <v>384</v>
      </c>
      <c r="G284" s="3">
        <f t="shared" si="64"/>
        <v>-0.6777807052660807</v>
      </c>
      <c r="L284">
        <f>L283+1</f>
        <v>21</v>
      </c>
      <c r="M284">
        <v>35</v>
      </c>
      <c r="N284" s="3">
        <f t="shared" si="65"/>
        <v>0.23572233352106983</v>
      </c>
      <c r="P284" t="s">
        <v>384</v>
      </c>
      <c r="Q284" t="s">
        <v>384</v>
      </c>
      <c r="R284" s="3">
        <f t="shared" si="66"/>
        <v>-0.6275992682798079</v>
      </c>
    </row>
    <row r="285" spans="1:18" ht="12.75">
      <c r="A285">
        <v>24</v>
      </c>
      <c r="B285">
        <v>35</v>
      </c>
      <c r="C285" s="3">
        <v>0.46</v>
      </c>
      <c r="E285" s="40">
        <f>LOG10(E283)</f>
        <v>0.10667696415467566</v>
      </c>
      <c r="F285" s="94">
        <f>STDEV(G279:G286)</f>
        <v>0.11308700855727011</v>
      </c>
      <c r="G285" s="3">
        <f t="shared" si="64"/>
        <v>-0.3372421683184259</v>
      </c>
      <c r="L285">
        <v>24</v>
      </c>
      <c r="M285">
        <v>35</v>
      </c>
      <c r="N285" s="3">
        <f t="shared" si="65"/>
        <v>0.616186139423817</v>
      </c>
      <c r="P285" s="40">
        <f>LOG10(P283)</f>
        <v>0.13003686561406927</v>
      </c>
      <c r="Q285" s="94">
        <f>STDEV(R279:R286)</f>
        <v>0.13778114033128352</v>
      </c>
      <c r="R285" s="3">
        <f t="shared" si="66"/>
        <v>-0.21028807498930588</v>
      </c>
    </row>
    <row r="287" spans="1:12" ht="12.75">
      <c r="A287" s="58" t="s">
        <v>421</v>
      </c>
      <c r="L287" s="58" t="s">
        <v>421</v>
      </c>
    </row>
    <row r="288" spans="1:12" ht="12.75">
      <c r="A288" s="59" t="s">
        <v>603</v>
      </c>
      <c r="L288" s="59" t="s">
        <v>603</v>
      </c>
    </row>
    <row r="289" spans="1:18" ht="12.75">
      <c r="A289" t="s">
        <v>127</v>
      </c>
      <c r="B289" t="s">
        <v>509</v>
      </c>
      <c r="C289" t="s">
        <v>414</v>
      </c>
      <c r="D289" t="s">
        <v>519</v>
      </c>
      <c r="E289" t="s">
        <v>598</v>
      </c>
      <c r="G289" t="s">
        <v>207</v>
      </c>
      <c r="L289" t="s">
        <v>127</v>
      </c>
      <c r="M289" t="s">
        <v>509</v>
      </c>
      <c r="N289" t="s">
        <v>414</v>
      </c>
      <c r="O289" t="s">
        <v>519</v>
      </c>
      <c r="P289" t="s">
        <v>598</v>
      </c>
      <c r="R289" t="s">
        <v>207</v>
      </c>
    </row>
    <row r="290" spans="1:18" ht="12.75">
      <c r="A290">
        <v>5</v>
      </c>
      <c r="B290">
        <v>26</v>
      </c>
      <c r="C290" s="3">
        <v>0.245</v>
      </c>
      <c r="D290" s="60">
        <f>COUNT(C290:C296)</f>
        <v>7</v>
      </c>
      <c r="E290" s="3">
        <f>AVERAGE(C290:C296)</f>
        <v>0.22142857142857145</v>
      </c>
      <c r="G290" s="3">
        <f aca="true" t="shared" si="67" ref="G290:G296">LOG10(C290)</f>
        <v>-0.6108339156354675</v>
      </c>
      <c r="L290">
        <v>5</v>
      </c>
      <c r="M290">
        <v>26</v>
      </c>
      <c r="N290" s="3">
        <f aca="true" t="shared" si="68" ref="N290:N296">-LN(1-C290)</f>
        <v>0.28103752973311236</v>
      </c>
      <c r="O290" s="60">
        <f>COUNT(N290:N296)</f>
        <v>7</v>
      </c>
      <c r="P290" s="3">
        <f>AVERAGE(N290:N296)</f>
        <v>0.2528605104785288</v>
      </c>
      <c r="R290" s="3">
        <f aca="true" t="shared" si="69" ref="R290:R296">LOG10(N290)</f>
        <v>-0.5512356805658497</v>
      </c>
    </row>
    <row r="291" spans="1:18" ht="12.75">
      <c r="A291">
        <v>11</v>
      </c>
      <c r="B291">
        <v>27</v>
      </c>
      <c r="C291" s="3">
        <v>0.21</v>
      </c>
      <c r="E291" t="s">
        <v>431</v>
      </c>
      <c r="G291" s="3">
        <f t="shared" si="67"/>
        <v>-0.6777807052660807</v>
      </c>
      <c r="L291">
        <v>11</v>
      </c>
      <c r="M291">
        <v>27</v>
      </c>
      <c r="N291" s="3">
        <f t="shared" si="68"/>
        <v>0.23572233352106983</v>
      </c>
      <c r="P291" t="s">
        <v>431</v>
      </c>
      <c r="R291" s="3">
        <f t="shared" si="69"/>
        <v>-0.6275992682798079</v>
      </c>
    </row>
    <row r="292" spans="1:18" ht="12.75">
      <c r="A292">
        <v>15</v>
      </c>
      <c r="B292">
        <v>40</v>
      </c>
      <c r="C292" s="3">
        <v>0.25</v>
      </c>
      <c r="E292" s="3">
        <f>STDEV(C290:C296)</f>
        <v>0.05892893217782797</v>
      </c>
      <c r="G292" s="3">
        <f t="shared" si="67"/>
        <v>-0.6020599913279624</v>
      </c>
      <c r="L292">
        <v>15</v>
      </c>
      <c r="M292">
        <v>40</v>
      </c>
      <c r="N292" s="3">
        <f t="shared" si="68"/>
        <v>0.2876820724517809</v>
      </c>
      <c r="P292" s="3">
        <f>STDEV(N290:N296)</f>
        <v>0.07825106436391088</v>
      </c>
      <c r="R292" s="3">
        <f t="shared" si="69"/>
        <v>-0.5410872012930469</v>
      </c>
    </row>
    <row r="293" spans="1:18" ht="12.75">
      <c r="A293">
        <f>A292+1</f>
        <v>16</v>
      </c>
      <c r="B293">
        <v>40</v>
      </c>
      <c r="C293" s="3">
        <v>0.18</v>
      </c>
      <c r="E293" t="s">
        <v>126</v>
      </c>
      <c r="F293" s="89" t="s">
        <v>323</v>
      </c>
      <c r="G293" s="3">
        <f t="shared" si="67"/>
        <v>-0.7447274948966939</v>
      </c>
      <c r="L293">
        <f>L292+1</f>
        <v>16</v>
      </c>
      <c r="M293">
        <v>40</v>
      </c>
      <c r="N293" s="3">
        <f t="shared" si="68"/>
        <v>0.19845093872383818</v>
      </c>
      <c r="P293" t="s">
        <v>126</v>
      </c>
      <c r="Q293" s="89" t="s">
        <v>323</v>
      </c>
      <c r="R293" s="3">
        <f t="shared" si="69"/>
        <v>-0.7023468424276733</v>
      </c>
    </row>
    <row r="294" spans="1:18" ht="12.75">
      <c r="A294">
        <v>20</v>
      </c>
      <c r="B294">
        <v>28</v>
      </c>
      <c r="C294" s="3">
        <v>0.17</v>
      </c>
      <c r="E294" s="3">
        <f>EXP(SQRT(LN(POWER(E292,2)/POWER(E290,2)+1)))</f>
        <v>1.2989951996670421</v>
      </c>
      <c r="F294" s="90">
        <f>F296/E296</f>
        <v>0.9629344668173845</v>
      </c>
      <c r="G294" s="3">
        <f t="shared" si="67"/>
        <v>-0.769551078621726</v>
      </c>
      <c r="L294">
        <v>20</v>
      </c>
      <c r="M294">
        <v>28</v>
      </c>
      <c r="N294" s="3">
        <f t="shared" si="68"/>
        <v>0.18632957819149348</v>
      </c>
      <c r="P294" s="3">
        <f>EXP(SQRT(LN(POWER(P292,2)/POWER(P290,2)+1)))</f>
        <v>1.353123252000407</v>
      </c>
      <c r="Q294" s="90">
        <f>Q296/P296</f>
        <v>0.9551718823205992</v>
      </c>
      <c r="R294" s="3">
        <f t="shared" si="69"/>
        <v>-0.7297181991792839</v>
      </c>
    </row>
    <row r="295" spans="1:18" ht="12.75">
      <c r="A295">
        <f>A294+1</f>
        <v>21</v>
      </c>
      <c r="B295">
        <v>35</v>
      </c>
      <c r="C295" s="3">
        <v>0.165</v>
      </c>
      <c r="E295" t="s">
        <v>384</v>
      </c>
      <c r="F295" t="s">
        <v>384</v>
      </c>
      <c r="G295" s="3">
        <f t="shared" si="67"/>
        <v>-0.7825160557860937</v>
      </c>
      <c r="L295">
        <f>L294+1</f>
        <v>21</v>
      </c>
      <c r="M295">
        <v>35</v>
      </c>
      <c r="N295" s="3">
        <f t="shared" si="68"/>
        <v>0.18032355413128162</v>
      </c>
      <c r="P295" t="s">
        <v>384</v>
      </c>
      <c r="Q295" t="s">
        <v>384</v>
      </c>
      <c r="R295" s="3">
        <f t="shared" si="69"/>
        <v>-0.7439475413800889</v>
      </c>
    </row>
    <row r="296" spans="1:18" ht="12.75">
      <c r="A296">
        <v>24</v>
      </c>
      <c r="B296">
        <v>35</v>
      </c>
      <c r="C296" s="3">
        <v>0.33</v>
      </c>
      <c r="E296" s="40">
        <f>LOG10(E294)</f>
        <v>0.11360754617543978</v>
      </c>
      <c r="F296" s="6">
        <f>STDEV(G290:G297)</f>
        <v>0.1093966219028785</v>
      </c>
      <c r="G296" s="3">
        <f t="shared" si="67"/>
        <v>-0.48148606012211254</v>
      </c>
      <c r="L296">
        <v>24</v>
      </c>
      <c r="M296">
        <v>35</v>
      </c>
      <c r="N296" s="3">
        <f t="shared" si="68"/>
        <v>0.4004775665971254</v>
      </c>
      <c r="P296" s="40">
        <f>LOG10(P294)</f>
        <v>0.1313373570009843</v>
      </c>
      <c r="Q296" s="94">
        <f>STDEV(R290:R297)</f>
        <v>0.12544975050564272</v>
      </c>
      <c r="R296" s="3">
        <f t="shared" si="69"/>
        <v>-0.3974218066108305</v>
      </c>
    </row>
    <row r="298" spans="1:12" ht="12.75">
      <c r="A298" s="58" t="s">
        <v>421</v>
      </c>
      <c r="L298" s="58" t="s">
        <v>421</v>
      </c>
    </row>
    <row r="299" spans="1:12" ht="12.75">
      <c r="A299" s="59" t="s">
        <v>56</v>
      </c>
      <c r="L299" s="59" t="s">
        <v>56</v>
      </c>
    </row>
    <row r="300" spans="1:18" ht="12.75">
      <c r="A300" t="s">
        <v>127</v>
      </c>
      <c r="B300" t="s">
        <v>509</v>
      </c>
      <c r="C300" t="s">
        <v>414</v>
      </c>
      <c r="D300" t="s">
        <v>519</v>
      </c>
      <c r="E300" t="s">
        <v>598</v>
      </c>
      <c r="G300" t="s">
        <v>207</v>
      </c>
      <c r="L300" t="s">
        <v>127</v>
      </c>
      <c r="M300" t="s">
        <v>509</v>
      </c>
      <c r="N300" t="s">
        <v>414</v>
      </c>
      <c r="O300" t="s">
        <v>519</v>
      </c>
      <c r="P300" t="s">
        <v>598</v>
      </c>
      <c r="R300" t="s">
        <v>207</v>
      </c>
    </row>
    <row r="301" spans="1:18" ht="12.75">
      <c r="A301">
        <v>5</v>
      </c>
      <c r="B301">
        <v>26</v>
      </c>
      <c r="C301" s="3">
        <v>0.27</v>
      </c>
      <c r="D301" s="60">
        <f>COUNT(C301:C307)</f>
        <v>7</v>
      </c>
      <c r="E301" s="3">
        <f>AVERAGE(C301:C307)</f>
        <v>0.23357142857142857</v>
      </c>
      <c r="G301" s="3">
        <f aca="true" t="shared" si="70" ref="G301:G307">LOG10(C301)</f>
        <v>-0.5686362358410126</v>
      </c>
      <c r="L301">
        <v>5</v>
      </c>
      <c r="M301">
        <v>26</v>
      </c>
      <c r="N301" s="3">
        <f aca="true" t="shared" si="71" ref="N301:N307">-LN(1-C301)</f>
        <v>0.31471074483970024</v>
      </c>
      <c r="O301" s="60">
        <f>COUNT(N301:N307)</f>
        <v>7</v>
      </c>
      <c r="P301" s="3">
        <f>AVERAGE(N301:N307)</f>
        <v>0.26894060029453015</v>
      </c>
      <c r="R301" s="3">
        <f aca="true" t="shared" si="72" ref="R301:R307">LOG10(N301)</f>
        <v>-0.5020884291715288</v>
      </c>
    </row>
    <row r="302" spans="1:18" ht="12.75">
      <c r="A302">
        <v>11</v>
      </c>
      <c r="B302">
        <v>27</v>
      </c>
      <c r="C302" s="3">
        <v>0.2</v>
      </c>
      <c r="E302" t="s">
        <v>431</v>
      </c>
      <c r="G302" s="3">
        <f t="shared" si="70"/>
        <v>-0.6989700043360187</v>
      </c>
      <c r="L302">
        <v>11</v>
      </c>
      <c r="M302">
        <v>27</v>
      </c>
      <c r="N302" s="3">
        <f t="shared" si="71"/>
        <v>0.22314355131420968</v>
      </c>
      <c r="P302" t="s">
        <v>431</v>
      </c>
      <c r="R302" s="3">
        <f t="shared" si="72"/>
        <v>-0.6514156594356943</v>
      </c>
    </row>
    <row r="303" spans="1:18" ht="12.75">
      <c r="A303">
        <v>15</v>
      </c>
      <c r="B303">
        <v>40</v>
      </c>
      <c r="C303" s="3">
        <v>0.27</v>
      </c>
      <c r="E303" s="3">
        <f>STDEV(C301:C307)</f>
        <v>0.0630287160556127</v>
      </c>
      <c r="G303" s="3">
        <f t="shared" si="70"/>
        <v>-0.5686362358410126</v>
      </c>
      <c r="L303">
        <v>15</v>
      </c>
      <c r="M303">
        <v>40</v>
      </c>
      <c r="N303" s="3">
        <f t="shared" si="71"/>
        <v>0.31471074483970024</v>
      </c>
      <c r="P303" s="3">
        <f>STDEV(N301:N307)</f>
        <v>0.08286181250446631</v>
      </c>
      <c r="R303" s="3">
        <f t="shared" si="72"/>
        <v>-0.5020884291715288</v>
      </c>
    </row>
    <row r="304" spans="1:18" ht="12.75">
      <c r="A304">
        <f>A303+1</f>
        <v>16</v>
      </c>
      <c r="B304">
        <v>40</v>
      </c>
      <c r="C304" s="3">
        <v>0.24</v>
      </c>
      <c r="E304" t="s">
        <v>126</v>
      </c>
      <c r="F304" s="89" t="s">
        <v>323</v>
      </c>
      <c r="G304" s="3">
        <f t="shared" si="70"/>
        <v>-0.619788758288394</v>
      </c>
      <c r="L304">
        <f>L303+1</f>
        <v>16</v>
      </c>
      <c r="M304">
        <v>40</v>
      </c>
      <c r="N304" s="3">
        <f t="shared" si="71"/>
        <v>0.27443684570176025</v>
      </c>
      <c r="P304" t="s">
        <v>126</v>
      </c>
      <c r="Q304" s="89" t="s">
        <v>323</v>
      </c>
      <c r="R304" s="3">
        <f t="shared" si="72"/>
        <v>-0.5615575809729126</v>
      </c>
    </row>
    <row r="305" spans="1:18" ht="12.75">
      <c r="A305">
        <v>20</v>
      </c>
      <c r="B305">
        <v>28</v>
      </c>
      <c r="C305" s="3">
        <v>0.18</v>
      </c>
      <c r="E305" s="3">
        <f>EXP(SQRT(LN(POWER(E303,2)/POWER(E301,2)+1)))</f>
        <v>1.3035874461915382</v>
      </c>
      <c r="F305" s="90">
        <f>F307/E307</f>
        <v>1.0600408028167574</v>
      </c>
      <c r="G305" s="3">
        <f t="shared" si="70"/>
        <v>-0.7447274948966939</v>
      </c>
      <c r="L305">
        <v>20</v>
      </c>
      <c r="M305">
        <v>28</v>
      </c>
      <c r="N305" s="3">
        <f t="shared" si="71"/>
        <v>0.19845093872383818</v>
      </c>
      <c r="P305" s="3">
        <f>EXP(SQRT(LN(POWER(P303,2)/POWER(P301,2)+1)))</f>
        <v>1.3514067470199078</v>
      </c>
      <c r="Q305" s="90">
        <f>Q307/P307</f>
        <v>1.0630843163493096</v>
      </c>
      <c r="R305" s="3">
        <f t="shared" si="72"/>
        <v>-0.7023468424276733</v>
      </c>
    </row>
    <row r="306" spans="1:18" ht="12.75">
      <c r="A306">
        <f>A305+1</f>
        <v>21</v>
      </c>
      <c r="B306">
        <v>35</v>
      </c>
      <c r="C306" s="3">
        <v>0.145</v>
      </c>
      <c r="E306" t="s">
        <v>384</v>
      </c>
      <c r="F306" t="s">
        <v>384</v>
      </c>
      <c r="G306" s="3">
        <f t="shared" si="70"/>
        <v>-0.8386319977650252</v>
      </c>
      <c r="L306">
        <f>L305+1</f>
        <v>21</v>
      </c>
      <c r="M306">
        <v>35</v>
      </c>
      <c r="N306" s="3">
        <f t="shared" si="71"/>
        <v>0.15665381004537687</v>
      </c>
      <c r="P306" t="s">
        <v>384</v>
      </c>
      <c r="Q306" t="s">
        <v>384</v>
      </c>
      <c r="R306" s="3">
        <f t="shared" si="72"/>
        <v>-0.8050590379890382</v>
      </c>
    </row>
    <row r="307" spans="1:18" ht="12.75">
      <c r="A307">
        <v>24</v>
      </c>
      <c r="B307">
        <v>35</v>
      </c>
      <c r="C307" s="3">
        <v>0.33</v>
      </c>
      <c r="E307" s="40">
        <f>LOG10(E305)</f>
        <v>0.11514016947031284</v>
      </c>
      <c r="F307" s="6">
        <f>STDEV(G301:G308)</f>
        <v>0.12205327768176794</v>
      </c>
      <c r="G307" s="3">
        <f t="shared" si="70"/>
        <v>-0.48148606012211254</v>
      </c>
      <c r="L307">
        <v>24</v>
      </c>
      <c r="M307">
        <v>35</v>
      </c>
      <c r="N307" s="3">
        <f t="shared" si="71"/>
        <v>0.4004775665971254</v>
      </c>
      <c r="P307" s="40">
        <f>LOG10(P305)</f>
        <v>0.13078608284868734</v>
      </c>
      <c r="Q307" s="94">
        <f>STDEV(R301:R308)</f>
        <v>0.13903663347320094</v>
      </c>
      <c r="R307" s="3">
        <f t="shared" si="72"/>
        <v>-0.3974218066108305</v>
      </c>
    </row>
    <row r="309" spans="1:12" ht="12.75">
      <c r="A309" s="58" t="s">
        <v>421</v>
      </c>
      <c r="L309" s="58" t="s">
        <v>421</v>
      </c>
    </row>
    <row r="310" spans="1:12" ht="12.75">
      <c r="A310" s="59" t="s">
        <v>57</v>
      </c>
      <c r="L310" s="59" t="s">
        <v>57</v>
      </c>
    </row>
    <row r="311" spans="1:18" ht="12.75">
      <c r="A311" t="s">
        <v>127</v>
      </c>
      <c r="B311" t="s">
        <v>509</v>
      </c>
      <c r="C311" t="s">
        <v>414</v>
      </c>
      <c r="D311" t="s">
        <v>519</v>
      </c>
      <c r="E311" t="s">
        <v>598</v>
      </c>
      <c r="G311" t="s">
        <v>207</v>
      </c>
      <c r="L311" t="s">
        <v>127</v>
      </c>
      <c r="M311" t="s">
        <v>509</v>
      </c>
      <c r="N311" t="s">
        <v>414</v>
      </c>
      <c r="O311" t="s">
        <v>519</v>
      </c>
      <c r="P311" t="s">
        <v>598</v>
      </c>
      <c r="R311" t="s">
        <v>207</v>
      </c>
    </row>
    <row r="312" spans="1:18" ht="12.75">
      <c r="A312">
        <v>5</v>
      </c>
      <c r="B312">
        <v>26</v>
      </c>
      <c r="C312" s="3">
        <v>0.33</v>
      </c>
      <c r="D312" s="60">
        <f>COUNT(C312:C318)</f>
        <v>7</v>
      </c>
      <c r="E312" s="3">
        <f>AVERAGE(C312:C318)</f>
        <v>0.25142857142857145</v>
      </c>
      <c r="G312" s="3">
        <f aca="true" t="shared" si="73" ref="G312:G318">LOG10(C312)</f>
        <v>-0.48148606012211254</v>
      </c>
      <c r="L312">
        <v>5</v>
      </c>
      <c r="M312">
        <v>26</v>
      </c>
      <c r="N312" s="3">
        <f aca="true" t="shared" si="74" ref="N312:N318">-LN(1-C312)</f>
        <v>0.4004775665971254</v>
      </c>
      <c r="O312" s="60">
        <f>COUNT(N312:N318)</f>
        <v>7</v>
      </c>
      <c r="P312" s="3">
        <f>AVERAGE(N312:N318)</f>
        <v>0.2917037236825033</v>
      </c>
      <c r="R312" s="3">
        <f aca="true" t="shared" si="75" ref="R312:R318">LOG10(N312)</f>
        <v>-0.3974218066108305</v>
      </c>
    </row>
    <row r="313" spans="1:18" ht="12.75">
      <c r="A313">
        <v>11</v>
      </c>
      <c r="B313">
        <v>27</v>
      </c>
      <c r="C313" s="3">
        <v>0.21</v>
      </c>
      <c r="E313" t="s">
        <v>431</v>
      </c>
      <c r="G313" s="3">
        <f t="shared" si="73"/>
        <v>-0.6777807052660807</v>
      </c>
      <c r="L313">
        <v>11</v>
      </c>
      <c r="M313">
        <v>27</v>
      </c>
      <c r="N313" s="3">
        <f t="shared" si="74"/>
        <v>0.23572233352106983</v>
      </c>
      <c r="P313" t="s">
        <v>431</v>
      </c>
      <c r="R313" s="3">
        <f t="shared" si="75"/>
        <v>-0.6275992682798079</v>
      </c>
    </row>
    <row r="314" spans="1:18" ht="12.75">
      <c r="A314">
        <v>15</v>
      </c>
      <c r="B314">
        <v>40</v>
      </c>
      <c r="C314" s="3">
        <v>0.28</v>
      </c>
      <c r="E314" s="3">
        <f>STDEV(C312:C318)</f>
        <v>0.05209880722517278</v>
      </c>
      <c r="G314" s="3">
        <f t="shared" si="73"/>
        <v>-0.5528419686577807</v>
      </c>
      <c r="L314">
        <v>15</v>
      </c>
      <c r="M314">
        <v>40</v>
      </c>
      <c r="N314" s="3">
        <f t="shared" si="74"/>
        <v>0.32850406697203605</v>
      </c>
      <c r="P314" s="3">
        <f>STDEV(N312:N318)</f>
        <v>0.07058061665168945</v>
      </c>
      <c r="R314" s="3">
        <f t="shared" si="75"/>
        <v>-0.4834592493840182</v>
      </c>
    </row>
    <row r="315" spans="1:18" ht="12.75">
      <c r="A315">
        <f>A314+1</f>
        <v>16</v>
      </c>
      <c r="B315">
        <v>40</v>
      </c>
      <c r="C315" s="3">
        <v>0.22</v>
      </c>
      <c r="E315" t="s">
        <v>126</v>
      </c>
      <c r="F315" s="89" t="s">
        <v>323</v>
      </c>
      <c r="G315" s="3">
        <f t="shared" si="73"/>
        <v>-0.6575773191777937</v>
      </c>
      <c r="L315">
        <f>L314+1</f>
        <v>16</v>
      </c>
      <c r="M315">
        <v>40</v>
      </c>
      <c r="N315" s="3">
        <f t="shared" si="74"/>
        <v>0.24846135929849958</v>
      </c>
      <c r="P315" t="s">
        <v>126</v>
      </c>
      <c r="Q315" s="89" t="s">
        <v>323</v>
      </c>
      <c r="R315" s="3">
        <f t="shared" si="75"/>
        <v>-0.6047411431410941</v>
      </c>
    </row>
    <row r="316" spans="1:18" ht="12.75">
      <c r="A316">
        <v>20</v>
      </c>
      <c r="B316">
        <v>28</v>
      </c>
      <c r="C316" s="3">
        <v>0.23</v>
      </c>
      <c r="E316" s="3">
        <f>EXP(SQRT(LN(POWER(E314,2)/POWER(E312,2)+1)))</f>
        <v>1.2275707507402673</v>
      </c>
      <c r="F316" s="90">
        <f>F318/E318</f>
        <v>0.9977307332916332</v>
      </c>
      <c r="G316" s="3">
        <f t="shared" si="73"/>
        <v>-0.6382721639824072</v>
      </c>
      <c r="L316">
        <v>20</v>
      </c>
      <c r="M316">
        <v>28</v>
      </c>
      <c r="N316" s="3">
        <f t="shared" si="74"/>
        <v>0.2613647641344075</v>
      </c>
      <c r="P316" s="3">
        <f>EXP(SQRT(LN(POWER(P314,2)/POWER(P312,2)+1)))</f>
        <v>1.2693775258434978</v>
      </c>
      <c r="Q316" s="90">
        <f>Q318/P318</f>
        <v>0.9976146898986942</v>
      </c>
      <c r="R316" s="3">
        <f t="shared" si="75"/>
        <v>-0.5827529621780622</v>
      </c>
    </row>
    <row r="317" spans="1:18" ht="12.75">
      <c r="A317">
        <f>A316+1</f>
        <v>21</v>
      </c>
      <c r="B317">
        <v>35</v>
      </c>
      <c r="C317" s="3">
        <v>0.19</v>
      </c>
      <c r="E317" t="s">
        <v>384</v>
      </c>
      <c r="F317" t="s">
        <v>384</v>
      </c>
      <c r="G317" s="3">
        <f t="shared" si="73"/>
        <v>-0.721246399047171</v>
      </c>
      <c r="L317">
        <f>L316+1</f>
        <v>21</v>
      </c>
      <c r="M317">
        <v>35</v>
      </c>
      <c r="N317" s="3">
        <f t="shared" si="74"/>
        <v>0.21072103131565253</v>
      </c>
      <c r="P317" t="s">
        <v>384</v>
      </c>
      <c r="Q317" t="s">
        <v>384</v>
      </c>
      <c r="R317" s="3">
        <f t="shared" si="75"/>
        <v>-0.6762921168431828</v>
      </c>
    </row>
    <row r="318" spans="1:18" ht="12.75">
      <c r="A318">
        <v>24</v>
      </c>
      <c r="B318">
        <v>35</v>
      </c>
      <c r="C318" s="3">
        <v>0.3</v>
      </c>
      <c r="E318" s="40">
        <f>LOG10(E316)</f>
        <v>0.08904653197269244</v>
      </c>
      <c r="F318" s="6">
        <f>STDEV(G312:G319)</f>
        <v>0.08884446164219129</v>
      </c>
      <c r="G318" s="3">
        <f t="shared" si="73"/>
        <v>-0.5228787452803376</v>
      </c>
      <c r="L318">
        <v>24</v>
      </c>
      <c r="M318">
        <v>35</v>
      </c>
      <c r="N318" s="3">
        <f t="shared" si="74"/>
        <v>0.3566749439387324</v>
      </c>
      <c r="P318" s="40">
        <f>LOG10(P316)</f>
        <v>0.10359080492125172</v>
      </c>
      <c r="Q318" s="94">
        <f>STDEV(R312:R319)</f>
        <v>0.10334370872787066</v>
      </c>
      <c r="R318" s="3">
        <f t="shared" si="75"/>
        <v>-0.44772739834696257</v>
      </c>
    </row>
    <row r="320" spans="1:12" ht="12.75">
      <c r="A320" s="58" t="s">
        <v>421</v>
      </c>
      <c r="L320" s="58" t="s">
        <v>421</v>
      </c>
    </row>
    <row r="321" spans="1:12" ht="12.75">
      <c r="A321" s="59" t="s">
        <v>58</v>
      </c>
      <c r="L321" s="59" t="s">
        <v>58</v>
      </c>
    </row>
    <row r="322" spans="1:18" ht="12.75">
      <c r="A322" t="s">
        <v>127</v>
      </c>
      <c r="B322" t="s">
        <v>509</v>
      </c>
      <c r="C322" t="s">
        <v>414</v>
      </c>
      <c r="D322" t="s">
        <v>519</v>
      </c>
      <c r="E322" t="s">
        <v>598</v>
      </c>
      <c r="G322" t="s">
        <v>207</v>
      </c>
      <c r="L322" t="s">
        <v>127</v>
      </c>
      <c r="M322" t="s">
        <v>509</v>
      </c>
      <c r="N322" t="s">
        <v>414</v>
      </c>
      <c r="O322" t="s">
        <v>519</v>
      </c>
      <c r="P322" t="s">
        <v>598</v>
      </c>
      <c r="R322" t="s">
        <v>207</v>
      </c>
    </row>
    <row r="323" spans="1:18" ht="12.75">
      <c r="A323">
        <v>5</v>
      </c>
      <c r="B323">
        <v>26</v>
      </c>
      <c r="C323" s="3">
        <v>0.25</v>
      </c>
      <c r="D323" s="60">
        <f>COUNT(C323:C329)</f>
        <v>7</v>
      </c>
      <c r="E323" s="3">
        <f>AVERAGE(C323:C329)</f>
        <v>0.2192857142857143</v>
      </c>
      <c r="G323" s="3">
        <f aca="true" t="shared" si="76" ref="G323:G329">LOG10(C323)</f>
        <v>-0.6020599913279624</v>
      </c>
      <c r="L323">
        <v>5</v>
      </c>
      <c r="M323">
        <v>26</v>
      </c>
      <c r="N323" s="3">
        <f aca="true" t="shared" si="77" ref="N323:N329">-LN(1-C323)</f>
        <v>0.2876820724517809</v>
      </c>
      <c r="O323" s="60">
        <f>COUNT(N323:N329)</f>
        <v>7</v>
      </c>
      <c r="P323" s="3">
        <f>AVERAGE(N323:N329)</f>
        <v>0.2519736189512528</v>
      </c>
      <c r="R323" s="3">
        <f aca="true" t="shared" si="78" ref="R323:R329">LOG10(N323)</f>
        <v>-0.5410872012930469</v>
      </c>
    </row>
    <row r="324" spans="1:18" ht="12.75">
      <c r="A324">
        <v>11</v>
      </c>
      <c r="B324">
        <v>27</v>
      </c>
      <c r="C324" s="3">
        <v>0.17</v>
      </c>
      <c r="E324" t="s">
        <v>431</v>
      </c>
      <c r="G324" s="3">
        <f t="shared" si="76"/>
        <v>-0.769551078621726</v>
      </c>
      <c r="L324">
        <v>11</v>
      </c>
      <c r="M324">
        <v>27</v>
      </c>
      <c r="N324" s="3">
        <f t="shared" si="77"/>
        <v>0.18632957819149348</v>
      </c>
      <c r="P324" t="s">
        <v>431</v>
      </c>
      <c r="R324" s="3">
        <f t="shared" si="78"/>
        <v>-0.7297181991792839</v>
      </c>
    </row>
    <row r="325" spans="1:18" ht="12.75">
      <c r="A325">
        <v>15</v>
      </c>
      <c r="B325">
        <v>40</v>
      </c>
      <c r="C325" s="3">
        <v>0.27</v>
      </c>
      <c r="E325" s="3">
        <f>STDEV(C323:C329)</f>
        <v>0.07791173271875099</v>
      </c>
      <c r="G325" s="3">
        <f t="shared" si="76"/>
        <v>-0.5686362358410126</v>
      </c>
      <c r="L325">
        <v>15</v>
      </c>
      <c r="M325">
        <v>40</v>
      </c>
      <c r="N325" s="3">
        <f t="shared" si="77"/>
        <v>0.31471074483970024</v>
      </c>
      <c r="P325" s="3">
        <f>STDEV(N323:N329)</f>
        <v>0.10261139750959497</v>
      </c>
      <c r="R325" s="3">
        <f t="shared" si="78"/>
        <v>-0.5020884291715288</v>
      </c>
    </row>
    <row r="326" spans="1:18" ht="12.75">
      <c r="A326">
        <f>A325+1</f>
        <v>16</v>
      </c>
      <c r="B326">
        <v>40</v>
      </c>
      <c r="C326" s="3">
        <v>0.22</v>
      </c>
      <c r="E326" t="s">
        <v>126</v>
      </c>
      <c r="F326" s="89" t="s">
        <v>323</v>
      </c>
      <c r="G326" s="3">
        <f t="shared" si="76"/>
        <v>-0.6575773191777937</v>
      </c>
      <c r="L326">
        <f>L325+1</f>
        <v>16</v>
      </c>
      <c r="M326">
        <v>40</v>
      </c>
      <c r="N326" s="3">
        <f t="shared" si="77"/>
        <v>0.24846135929849958</v>
      </c>
      <c r="P326" t="s">
        <v>126</v>
      </c>
      <c r="Q326" s="89" t="s">
        <v>323</v>
      </c>
      <c r="R326" s="3">
        <f t="shared" si="78"/>
        <v>-0.6047411431410941</v>
      </c>
    </row>
    <row r="327" spans="1:18" ht="12.75">
      <c r="A327">
        <v>20</v>
      </c>
      <c r="B327">
        <v>28</v>
      </c>
      <c r="C327" s="3">
        <v>0.135</v>
      </c>
      <c r="E327" s="3">
        <f>EXP(SQRT(LN(POWER(E325,2)/POWER(E323,2)+1)))</f>
        <v>1.411696350672819</v>
      </c>
      <c r="F327" s="90">
        <f>F329/E329</f>
        <v>1.0323042259706205</v>
      </c>
      <c r="G327" s="3">
        <f t="shared" si="76"/>
        <v>-0.8696662315049939</v>
      </c>
      <c r="L327">
        <v>20</v>
      </c>
      <c r="M327">
        <v>28</v>
      </c>
      <c r="N327" s="3">
        <f t="shared" si="77"/>
        <v>0.14502577205025774</v>
      </c>
      <c r="P327" s="3">
        <f>EXP(SQRT(LN(POWER(P325,2)/POWER(P323,2)+1)))</f>
        <v>1.479513194231412</v>
      </c>
      <c r="Q327" s="90">
        <f>Q329/P329</f>
        <v>1.0317808600027063</v>
      </c>
      <c r="R327" s="3">
        <f t="shared" si="78"/>
        <v>-0.8385548138708863</v>
      </c>
    </row>
    <row r="328" spans="1:18" ht="12.75">
      <c r="A328">
        <f>A327+1</f>
        <v>21</v>
      </c>
      <c r="B328">
        <v>35</v>
      </c>
      <c r="C328" s="3">
        <v>0.14</v>
      </c>
      <c r="E328" t="s">
        <v>384</v>
      </c>
      <c r="F328" t="s">
        <v>384</v>
      </c>
      <c r="G328" s="3">
        <f t="shared" si="76"/>
        <v>-0.8538719643217619</v>
      </c>
      <c r="L328">
        <f>L327+1</f>
        <v>21</v>
      </c>
      <c r="M328">
        <v>35</v>
      </c>
      <c r="N328" s="3">
        <f t="shared" si="77"/>
        <v>0.15082288973458366</v>
      </c>
      <c r="P328" t="s">
        <v>384</v>
      </c>
      <c r="Q328" t="s">
        <v>384</v>
      </c>
      <c r="R328" s="3">
        <f t="shared" si="78"/>
        <v>-0.8215327424779075</v>
      </c>
    </row>
    <row r="329" spans="1:18" ht="12.75">
      <c r="A329">
        <v>24</v>
      </c>
      <c r="B329">
        <v>35</v>
      </c>
      <c r="C329" s="3">
        <v>0.35</v>
      </c>
      <c r="E329" s="40">
        <f>LOG10(E327)</f>
        <v>0.14974129203528155</v>
      </c>
      <c r="F329" s="94">
        <f>STDEV(G323:G330)</f>
        <v>0.15457856857032198</v>
      </c>
      <c r="G329" s="3">
        <f t="shared" si="76"/>
        <v>-0.45593195564972444</v>
      </c>
      <c r="L329">
        <v>24</v>
      </c>
      <c r="M329">
        <v>35</v>
      </c>
      <c r="N329" s="3">
        <f t="shared" si="77"/>
        <v>0.43078291609245417</v>
      </c>
      <c r="P329" s="40">
        <f>LOG10(P327)</f>
        <v>0.17011884253236953</v>
      </c>
      <c r="Q329" s="94">
        <f>STDEV(R323:R330)</f>
        <v>0.1755253656507132</v>
      </c>
      <c r="R329" s="3">
        <f t="shared" si="78"/>
        <v>-0.36574152820110817</v>
      </c>
    </row>
    <row r="331" spans="1:12" ht="12.75">
      <c r="A331" s="58" t="s">
        <v>421</v>
      </c>
      <c r="L331" s="58" t="s">
        <v>421</v>
      </c>
    </row>
    <row r="332" spans="1:12" ht="12.75">
      <c r="A332" s="59" t="s">
        <v>399</v>
      </c>
      <c r="L332" s="59" t="s">
        <v>399</v>
      </c>
    </row>
    <row r="333" spans="1:18" ht="12.75">
      <c r="A333" t="s">
        <v>127</v>
      </c>
      <c r="B333" t="s">
        <v>509</v>
      </c>
      <c r="C333" t="s">
        <v>414</v>
      </c>
      <c r="D333" t="s">
        <v>519</v>
      </c>
      <c r="E333" t="s">
        <v>598</v>
      </c>
      <c r="G333" t="s">
        <v>207</v>
      </c>
      <c r="L333" t="s">
        <v>127</v>
      </c>
      <c r="M333" t="s">
        <v>509</v>
      </c>
      <c r="N333" t="s">
        <v>414</v>
      </c>
      <c r="O333" t="s">
        <v>519</v>
      </c>
      <c r="P333" t="s">
        <v>598</v>
      </c>
      <c r="R333" t="s">
        <v>207</v>
      </c>
    </row>
    <row r="334" spans="1:18" ht="12.75">
      <c r="A334">
        <v>5</v>
      </c>
      <c r="B334">
        <v>26</v>
      </c>
      <c r="C334" s="3">
        <v>0.28</v>
      </c>
      <c r="D334" s="60">
        <f>COUNT(C334:C340)</f>
        <v>7</v>
      </c>
      <c r="E334" s="3">
        <f>AVERAGE(C334:C340)</f>
        <v>0.2278571428571428</v>
      </c>
      <c r="G334" s="3">
        <f aca="true" t="shared" si="79" ref="G334:G340">LOG10(C334)</f>
        <v>-0.5528419686577807</v>
      </c>
      <c r="L334">
        <v>5</v>
      </c>
      <c r="M334">
        <v>26</v>
      </c>
      <c r="N334" s="3">
        <f aca="true" t="shared" si="80" ref="N334:N340">-LN(1-C334)</f>
        <v>0.32850406697203605</v>
      </c>
      <c r="O334" s="60">
        <f>COUNT(N334:N340)</f>
        <v>7</v>
      </c>
      <c r="P334" s="3">
        <f>AVERAGE(N334:N340)</f>
        <v>0.26271743893041727</v>
      </c>
      <c r="R334" s="3">
        <f aca="true" t="shared" si="81" ref="R334:R340">LOG10(N334)</f>
        <v>-0.4834592493840182</v>
      </c>
    </row>
    <row r="335" spans="1:18" ht="12.75">
      <c r="A335">
        <v>11</v>
      </c>
      <c r="B335">
        <v>27</v>
      </c>
      <c r="C335" s="3">
        <v>0.2</v>
      </c>
      <c r="E335" t="s">
        <v>431</v>
      </c>
      <c r="G335" s="3">
        <f t="shared" si="79"/>
        <v>-0.6989700043360187</v>
      </c>
      <c r="L335">
        <v>11</v>
      </c>
      <c r="M335">
        <v>27</v>
      </c>
      <c r="N335" s="3">
        <f t="shared" si="80"/>
        <v>0.22314355131420968</v>
      </c>
      <c r="P335" t="s">
        <v>431</v>
      </c>
      <c r="R335" s="3">
        <f t="shared" si="81"/>
        <v>-0.6514156594356943</v>
      </c>
    </row>
    <row r="336" spans="1:18" ht="12.75">
      <c r="A336">
        <v>15</v>
      </c>
      <c r="B336">
        <v>40</v>
      </c>
      <c r="C336" s="3">
        <v>0.25</v>
      </c>
      <c r="E336" s="3">
        <f>STDEV(C334:C340)</f>
        <v>0.07482519310906957</v>
      </c>
      <c r="G336" s="3">
        <f t="shared" si="79"/>
        <v>-0.6020599913279624</v>
      </c>
      <c r="L336">
        <v>15</v>
      </c>
      <c r="M336">
        <v>40</v>
      </c>
      <c r="N336" s="3">
        <f t="shared" si="80"/>
        <v>0.2876820724517809</v>
      </c>
      <c r="P336" s="3">
        <f>STDEV(N334:N340)</f>
        <v>0.09887374948670927</v>
      </c>
      <c r="R336" s="3">
        <f t="shared" si="81"/>
        <v>-0.5410872012930469</v>
      </c>
    </row>
    <row r="337" spans="1:18" ht="12.75">
      <c r="A337">
        <f>A336+1</f>
        <v>16</v>
      </c>
      <c r="B337">
        <v>40</v>
      </c>
      <c r="C337" s="3">
        <v>0.23</v>
      </c>
      <c r="E337" t="s">
        <v>126</v>
      </c>
      <c r="F337" s="89" t="s">
        <v>323</v>
      </c>
      <c r="G337" s="3">
        <f t="shared" si="79"/>
        <v>-0.6382721639824072</v>
      </c>
      <c r="L337">
        <f>L336+1</f>
        <v>16</v>
      </c>
      <c r="M337">
        <v>40</v>
      </c>
      <c r="N337" s="3">
        <f t="shared" si="80"/>
        <v>0.2613647641344075</v>
      </c>
      <c r="P337" t="s">
        <v>126</v>
      </c>
      <c r="Q337" s="89" t="s">
        <v>323</v>
      </c>
      <c r="R337" s="3">
        <f t="shared" si="81"/>
        <v>-0.5827529621780622</v>
      </c>
    </row>
    <row r="338" spans="1:18" ht="12.75">
      <c r="A338">
        <v>20</v>
      </c>
      <c r="B338">
        <v>28</v>
      </c>
      <c r="C338" s="3">
        <v>0.135</v>
      </c>
      <c r="E338" s="3">
        <f>EXP(SQRT(LN(POWER(E336,2)/POWER(E334,2)+1)))</f>
        <v>1.3771493858709642</v>
      </c>
      <c r="F338" s="90">
        <f>F340/E340</f>
        <v>1.0559813560931501</v>
      </c>
      <c r="G338" s="3">
        <f t="shared" si="79"/>
        <v>-0.8696662315049939</v>
      </c>
      <c r="L338">
        <v>20</v>
      </c>
      <c r="M338">
        <v>28</v>
      </c>
      <c r="N338" s="3">
        <f t="shared" si="80"/>
        <v>0.14502577205025774</v>
      </c>
      <c r="P338" s="3">
        <f>EXP(SQRT(LN(POWER(P336,2)/POWER(P334,2)+1)))</f>
        <v>1.4390135957181545</v>
      </c>
      <c r="Q338" s="90">
        <f>Q340/P340</f>
        <v>1.0559418371987042</v>
      </c>
      <c r="R338" s="3">
        <f t="shared" si="81"/>
        <v>-0.8385548138708863</v>
      </c>
    </row>
    <row r="339" spans="1:18" ht="12.75">
      <c r="A339">
        <f>A338+1</f>
        <v>21</v>
      </c>
      <c r="B339">
        <v>35</v>
      </c>
      <c r="C339" s="3">
        <v>0.15</v>
      </c>
      <c r="E339" t="s">
        <v>384</v>
      </c>
      <c r="F339" t="s">
        <v>384</v>
      </c>
      <c r="G339" s="3">
        <f t="shared" si="79"/>
        <v>-0.8239087409443188</v>
      </c>
      <c r="L339">
        <f>L338+1</f>
        <v>21</v>
      </c>
      <c r="M339">
        <v>35</v>
      </c>
      <c r="N339" s="3">
        <f t="shared" si="80"/>
        <v>0.1625189294977749</v>
      </c>
      <c r="P339" t="s">
        <v>384</v>
      </c>
      <c r="Q339" t="s">
        <v>384</v>
      </c>
      <c r="R339" s="3">
        <f t="shared" si="81"/>
        <v>-0.7890960470073316</v>
      </c>
    </row>
    <row r="340" spans="1:18" ht="12.75">
      <c r="A340">
        <v>24</v>
      </c>
      <c r="B340">
        <v>35</v>
      </c>
      <c r="C340" s="3">
        <v>0.35</v>
      </c>
      <c r="E340" s="40">
        <f>LOG10(E338)</f>
        <v>0.1389810527772761</v>
      </c>
      <c r="F340" s="6">
        <f>STDEV(G334:G341)</f>
        <v>0.1467614005830017</v>
      </c>
      <c r="G340" s="3">
        <f t="shared" si="79"/>
        <v>-0.45593195564972444</v>
      </c>
      <c r="L340">
        <v>24</v>
      </c>
      <c r="M340">
        <v>35</v>
      </c>
      <c r="N340" s="3">
        <f t="shared" si="80"/>
        <v>0.43078291609245417</v>
      </c>
      <c r="P340" s="40">
        <f>LOG10(P338)</f>
        <v>0.15806489714541616</v>
      </c>
      <c r="Q340" s="94">
        <f>STDEV(R334:R341)</f>
        <v>0.16690733788835493</v>
      </c>
      <c r="R340" s="3">
        <f t="shared" si="81"/>
        <v>-0.36574152820110817</v>
      </c>
    </row>
    <row r="342" spans="1:12" ht="12.75">
      <c r="A342" s="58" t="s">
        <v>421</v>
      </c>
      <c r="L342" s="58" t="s">
        <v>421</v>
      </c>
    </row>
    <row r="343" spans="1:12" ht="12.75">
      <c r="A343" s="59" t="s">
        <v>195</v>
      </c>
      <c r="L343" s="59" t="s">
        <v>195</v>
      </c>
    </row>
    <row r="344" spans="1:18" ht="12.75">
      <c r="A344" t="s">
        <v>127</v>
      </c>
      <c r="B344" t="s">
        <v>509</v>
      </c>
      <c r="C344" t="s">
        <v>414</v>
      </c>
      <c r="D344" t="s">
        <v>519</v>
      </c>
      <c r="E344" t="s">
        <v>598</v>
      </c>
      <c r="G344" t="s">
        <v>207</v>
      </c>
      <c r="L344" t="s">
        <v>127</v>
      </c>
      <c r="M344" t="s">
        <v>509</v>
      </c>
      <c r="N344" t="s">
        <v>414</v>
      </c>
      <c r="O344" t="s">
        <v>519</v>
      </c>
      <c r="P344" t="s">
        <v>598</v>
      </c>
      <c r="R344" t="s">
        <v>207</v>
      </c>
    </row>
    <row r="345" spans="1:18" ht="12.75">
      <c r="A345">
        <v>5</v>
      </c>
      <c r="B345">
        <v>26</v>
      </c>
      <c r="C345" s="3">
        <v>0.3</v>
      </c>
      <c r="D345" s="60">
        <f>COUNT(C345:C351)</f>
        <v>7</v>
      </c>
      <c r="E345" s="3">
        <f>AVERAGE(C345:C351)</f>
        <v>0.2414285714285714</v>
      </c>
      <c r="G345" s="3">
        <f aca="true" t="shared" si="82" ref="G345:G351">LOG10(C345)</f>
        <v>-0.5228787452803376</v>
      </c>
      <c r="L345">
        <v>5</v>
      </c>
      <c r="M345">
        <v>26</v>
      </c>
      <c r="N345" s="3">
        <f aca="true" t="shared" si="83" ref="N345:N351">-LN(1-C345)</f>
        <v>0.3566749439387324</v>
      </c>
      <c r="O345" s="60">
        <f>COUNT(N345:N351)</f>
        <v>7</v>
      </c>
      <c r="P345" s="3">
        <f>AVERAGE(N345:N351)</f>
        <v>0.2800427658650813</v>
      </c>
      <c r="R345" s="3">
        <f aca="true" t="shared" si="84" ref="R345:R351">LOG10(N345)</f>
        <v>-0.44772739834696257</v>
      </c>
    </row>
    <row r="346" spans="1:18" ht="12.75">
      <c r="A346">
        <v>11</v>
      </c>
      <c r="B346">
        <v>27</v>
      </c>
      <c r="C346" s="3">
        <v>0.205</v>
      </c>
      <c r="E346" t="s">
        <v>431</v>
      </c>
      <c r="G346" s="3">
        <f t="shared" si="82"/>
        <v>-0.6882461389442458</v>
      </c>
      <c r="L346">
        <v>11</v>
      </c>
      <c r="M346">
        <v>27</v>
      </c>
      <c r="N346" s="3">
        <f t="shared" si="83"/>
        <v>0.22941316432780512</v>
      </c>
      <c r="P346" t="s">
        <v>431</v>
      </c>
      <c r="R346" s="3">
        <f t="shared" si="84"/>
        <v>-0.6393816647656718</v>
      </c>
    </row>
    <row r="347" spans="1:18" ht="12.75">
      <c r="A347">
        <v>15</v>
      </c>
      <c r="B347">
        <v>40</v>
      </c>
      <c r="C347" s="3">
        <v>0.255</v>
      </c>
      <c r="E347" s="3">
        <f>STDEV(C345:C351)</f>
        <v>0.07087043846075078</v>
      </c>
      <c r="G347" s="3">
        <f t="shared" si="82"/>
        <v>-0.5934598195660448</v>
      </c>
      <c r="L347">
        <v>15</v>
      </c>
      <c r="M347">
        <v>40</v>
      </c>
      <c r="N347" s="3">
        <f t="shared" si="83"/>
        <v>0.2943710606025775</v>
      </c>
      <c r="P347" s="3">
        <f>STDEV(N345:N351)</f>
        <v>0.09311952986287755</v>
      </c>
      <c r="R347" s="3">
        <f t="shared" si="84"/>
        <v>-0.531104887399675</v>
      </c>
    </row>
    <row r="348" spans="1:18" ht="12.75">
      <c r="A348">
        <f>A347+1</f>
        <v>16</v>
      </c>
      <c r="B348">
        <v>40</v>
      </c>
      <c r="C348" s="3">
        <v>0.29</v>
      </c>
      <c r="E348" t="s">
        <v>126</v>
      </c>
      <c r="F348" s="89" t="s">
        <v>323</v>
      </c>
      <c r="G348" s="3">
        <f t="shared" si="82"/>
        <v>-0.5376020021010439</v>
      </c>
      <c r="L348">
        <f>L347+1</f>
        <v>16</v>
      </c>
      <c r="M348">
        <v>40</v>
      </c>
      <c r="N348" s="3">
        <f t="shared" si="83"/>
        <v>0.342490308946776</v>
      </c>
      <c r="P348" t="s">
        <v>126</v>
      </c>
      <c r="Q348" s="89" t="s">
        <v>323</v>
      </c>
      <c r="R348" s="3">
        <f t="shared" si="84"/>
        <v>-0.46535171272771275</v>
      </c>
    </row>
    <row r="349" spans="1:18" ht="12.75">
      <c r="A349">
        <v>20</v>
      </c>
      <c r="B349">
        <v>28</v>
      </c>
      <c r="C349" s="3">
        <v>0.15</v>
      </c>
      <c r="E349" s="3">
        <f>EXP(SQRT(LN(POWER(E347,2)/POWER(E345,2)+1)))</f>
        <v>1.3330927149043172</v>
      </c>
      <c r="F349" s="90">
        <f>F351/E351</f>
        <v>1.0930250588716737</v>
      </c>
      <c r="G349" s="3">
        <f t="shared" si="82"/>
        <v>-0.8239087409443188</v>
      </c>
      <c r="L349">
        <v>20</v>
      </c>
      <c r="M349">
        <v>28</v>
      </c>
      <c r="N349" s="3">
        <f t="shared" si="83"/>
        <v>0.1625189294977749</v>
      </c>
      <c r="P349" s="3">
        <f>EXP(SQRT(LN(POWER(P347,2)/POWER(P345,2)+1)))</f>
        <v>1.3824261548308652</v>
      </c>
      <c r="Q349" s="90">
        <f>Q351/P351</f>
        <v>1.1067047728000192</v>
      </c>
      <c r="R349" s="3">
        <f t="shared" si="84"/>
        <v>-0.7890960470073316</v>
      </c>
    </row>
    <row r="350" spans="1:18" ht="12.75">
      <c r="A350">
        <f>A349+1</f>
        <v>21</v>
      </c>
      <c r="B350">
        <v>35</v>
      </c>
      <c r="C350" s="3">
        <v>0.16</v>
      </c>
      <c r="E350" t="s">
        <v>384</v>
      </c>
      <c r="F350" t="s">
        <v>384</v>
      </c>
      <c r="G350" s="3">
        <f t="shared" si="82"/>
        <v>-0.7958800173440752</v>
      </c>
      <c r="L350">
        <f>L349+1</f>
        <v>21</v>
      </c>
      <c r="M350">
        <v>35</v>
      </c>
      <c r="N350" s="3">
        <f t="shared" si="83"/>
        <v>0.1743533871447778</v>
      </c>
      <c r="P350" t="s">
        <v>384</v>
      </c>
      <c r="Q350" t="s">
        <v>384</v>
      </c>
      <c r="R350" s="3">
        <f t="shared" si="84"/>
        <v>-0.7585696112131687</v>
      </c>
    </row>
    <row r="351" spans="1:18" ht="12.75">
      <c r="A351">
        <v>24</v>
      </c>
      <c r="B351">
        <v>35</v>
      </c>
      <c r="C351" s="3">
        <v>0.33</v>
      </c>
      <c r="E351" s="40">
        <f>LOG10(E349)</f>
        <v>0.12486035509359891</v>
      </c>
      <c r="F351" s="6">
        <f>STDEV(G345:G352)</f>
        <v>0.13647549697691902</v>
      </c>
      <c r="G351" s="3">
        <f t="shared" si="82"/>
        <v>-0.48148606012211254</v>
      </c>
      <c r="L351">
        <v>24</v>
      </c>
      <c r="M351">
        <v>35</v>
      </c>
      <c r="N351" s="3">
        <f t="shared" si="83"/>
        <v>0.4004775665971254</v>
      </c>
      <c r="P351" s="40">
        <f>LOG10(P349)</f>
        <v>0.14064194185303763</v>
      </c>
      <c r="Q351" s="94">
        <f>STDEV(R345:R352)</f>
        <v>0.15564910830461953</v>
      </c>
      <c r="R351" s="3">
        <f t="shared" si="84"/>
        <v>-0.3974218066108305</v>
      </c>
    </row>
    <row r="353" spans="1:12" ht="15.75">
      <c r="A353" s="61" t="s">
        <v>188</v>
      </c>
      <c r="L353" s="61" t="s">
        <v>188</v>
      </c>
    </row>
    <row r="355" spans="1:12" ht="12.75">
      <c r="A355" s="58" t="s">
        <v>421</v>
      </c>
      <c r="L355" s="58" t="s">
        <v>421</v>
      </c>
    </row>
    <row r="356" spans="1:12" ht="12.75">
      <c r="A356" s="59" t="s">
        <v>429</v>
      </c>
      <c r="L356" s="59" t="s">
        <v>429</v>
      </c>
    </row>
    <row r="357" spans="1:18" ht="12.75">
      <c r="A357" t="s">
        <v>127</v>
      </c>
      <c r="B357" t="s">
        <v>509</v>
      </c>
      <c r="C357" t="s">
        <v>414</v>
      </c>
      <c r="D357" t="s">
        <v>519</v>
      </c>
      <c r="E357" t="s">
        <v>598</v>
      </c>
      <c r="G357" t="s">
        <v>207</v>
      </c>
      <c r="L357" t="s">
        <v>127</v>
      </c>
      <c r="M357" t="s">
        <v>509</v>
      </c>
      <c r="N357" t="s">
        <v>414</v>
      </c>
      <c r="O357" t="s">
        <v>519</v>
      </c>
      <c r="P357" t="s">
        <v>598</v>
      </c>
      <c r="R357" t="s">
        <v>207</v>
      </c>
    </row>
    <row r="358" spans="1:18" ht="12.75">
      <c r="A358">
        <v>5</v>
      </c>
      <c r="B358">
        <v>26</v>
      </c>
      <c r="C358" s="3">
        <v>0.25</v>
      </c>
      <c r="D358" s="60">
        <f>COUNT(C358:C364)</f>
        <v>3</v>
      </c>
      <c r="E358" s="3">
        <f>AVERAGE(C358:C364)</f>
        <v>0.22166666666666668</v>
      </c>
      <c r="G358" s="3">
        <f>LOG10(C358)</f>
        <v>-0.6020599913279624</v>
      </c>
      <c r="L358">
        <v>5</v>
      </c>
      <c r="M358">
        <v>26</v>
      </c>
      <c r="N358" s="3">
        <f>-LN(1-C358)</f>
        <v>0.2876820724517809</v>
      </c>
      <c r="O358" s="60">
        <f>COUNT(N358:N364)</f>
        <v>3</v>
      </c>
      <c r="P358" s="3">
        <f>AVERAGE(N358:N364)</f>
        <v>0.25109845113207446</v>
      </c>
      <c r="R358" s="3">
        <f>LOG10(N358)</f>
        <v>-0.5410872012930469</v>
      </c>
    </row>
    <row r="359" spans="1:18" ht="12.75">
      <c r="A359">
        <v>11</v>
      </c>
      <c r="B359">
        <v>27</v>
      </c>
      <c r="C359" s="3"/>
      <c r="E359" t="s">
        <v>431</v>
      </c>
      <c r="G359" s="3"/>
      <c r="L359">
        <v>11</v>
      </c>
      <c r="M359">
        <v>27</v>
      </c>
      <c r="N359" s="3"/>
      <c r="P359" t="s">
        <v>431</v>
      </c>
      <c r="R359" s="3"/>
    </row>
    <row r="360" spans="1:18" ht="12.75">
      <c r="A360">
        <v>15</v>
      </c>
      <c r="B360">
        <v>40</v>
      </c>
      <c r="C360" s="3"/>
      <c r="E360" s="3">
        <f>STDEV(C358:C364)</f>
        <v>0.030138568866708494</v>
      </c>
      <c r="G360" s="3"/>
      <c r="L360">
        <v>15</v>
      </c>
      <c r="M360">
        <v>40</v>
      </c>
      <c r="N360" s="3"/>
      <c r="P360" s="3">
        <f>STDEV(N358:N364)</f>
        <v>0.03862052748816973</v>
      </c>
      <c r="R360" s="3"/>
    </row>
    <row r="361" spans="1:18" ht="12.75">
      <c r="A361">
        <f>A360+1</f>
        <v>16</v>
      </c>
      <c r="B361">
        <v>40</v>
      </c>
      <c r="C361" s="3">
        <v>0.19</v>
      </c>
      <c r="E361" t="s">
        <v>126</v>
      </c>
      <c r="F361" s="89" t="s">
        <v>323</v>
      </c>
      <c r="G361" s="3">
        <f>LOG10(C361)</f>
        <v>-0.721246399047171</v>
      </c>
      <c r="L361">
        <f>L360+1</f>
        <v>16</v>
      </c>
      <c r="M361">
        <v>40</v>
      </c>
      <c r="N361" s="3">
        <f>-LN(1-C361)</f>
        <v>0.21072103131565253</v>
      </c>
      <c r="P361" t="s">
        <v>126</v>
      </c>
      <c r="Q361" s="89" t="s">
        <v>323</v>
      </c>
      <c r="R361" s="3">
        <f>LOG10(N361)</f>
        <v>-0.6762921168431828</v>
      </c>
    </row>
    <row r="362" spans="1:18" ht="12.75">
      <c r="A362">
        <v>20</v>
      </c>
      <c r="B362">
        <v>28</v>
      </c>
      <c r="C362" s="3">
        <v>0.225</v>
      </c>
      <c r="E362" s="3">
        <f>EXP(SQRT(LN(POWER(E360,2)/POWER(E358,2)+1)))</f>
        <v>1.1449275110761505</v>
      </c>
      <c r="F362" s="90">
        <f>F364/E364</f>
        <v>1.02293716934939</v>
      </c>
      <c r="G362" s="3">
        <f>LOG10(C362)</f>
        <v>-0.6478174818886375</v>
      </c>
      <c r="L362">
        <v>20</v>
      </c>
      <c r="M362">
        <v>28</v>
      </c>
      <c r="N362" s="3">
        <f>-LN(1-C362)</f>
        <v>0.25489224962879004</v>
      </c>
      <c r="P362" s="3">
        <f>EXP(SQRT(LN(POWER(P360,2)/POWER(P358,2)+1)))</f>
        <v>1.165217964211879</v>
      </c>
      <c r="Q362" s="90">
        <f>Q364/P364</f>
        <v>1.0263697945363326</v>
      </c>
      <c r="R362" s="3">
        <f>LOG10(N362)</f>
        <v>-0.5936433696881349</v>
      </c>
    </row>
    <row r="363" spans="1:18" ht="12.75">
      <c r="A363">
        <f>A362+1</f>
        <v>21</v>
      </c>
      <c r="B363">
        <v>35</v>
      </c>
      <c r="C363" s="3"/>
      <c r="E363" t="s">
        <v>384</v>
      </c>
      <c r="F363" t="s">
        <v>384</v>
      </c>
      <c r="G363" s="3"/>
      <c r="L363">
        <f>L362+1</f>
        <v>21</v>
      </c>
      <c r="M363">
        <v>35</v>
      </c>
      <c r="N363" s="3"/>
      <c r="P363" t="s">
        <v>384</v>
      </c>
      <c r="Q363" t="s">
        <v>384</v>
      </c>
      <c r="R363" s="3"/>
    </row>
    <row r="364" spans="1:18" ht="12.75">
      <c r="A364">
        <v>24</v>
      </c>
      <c r="B364">
        <v>35</v>
      </c>
      <c r="C364" s="3"/>
      <c r="E364" s="40">
        <f>LOG10(E362)</f>
        <v>0.05877799101110067</v>
      </c>
      <c r="F364" s="6">
        <f>STDEV(G358:G365)</f>
        <v>0.06012619174493922</v>
      </c>
      <c r="G364" s="3"/>
      <c r="L364">
        <v>24</v>
      </c>
      <c r="M364">
        <v>35</v>
      </c>
      <c r="N364" s="3"/>
      <c r="P364" s="40">
        <f>LOG10(P362)</f>
        <v>0.06640717154261085</v>
      </c>
      <c r="Q364" s="94">
        <f>STDEV(R358:R365)</f>
        <v>0.06815831501192848</v>
      </c>
      <c r="R364" s="3"/>
    </row>
    <row r="365" spans="2:15" ht="12.75">
      <c r="B365" s="3"/>
      <c r="D365" s="3"/>
      <c r="M365" s="3"/>
      <c r="O365" s="3"/>
    </row>
    <row r="366" spans="1:12" ht="12.75">
      <c r="A366" s="58" t="s">
        <v>421</v>
      </c>
      <c r="L366" s="58" t="s">
        <v>421</v>
      </c>
    </row>
    <row r="367" spans="1:12" ht="12.75">
      <c r="A367" s="59" t="s">
        <v>200</v>
      </c>
      <c r="L367" s="59" t="s">
        <v>200</v>
      </c>
    </row>
    <row r="368" spans="1:18" ht="12.75">
      <c r="A368" t="s">
        <v>127</v>
      </c>
      <c r="B368" t="s">
        <v>509</v>
      </c>
      <c r="C368" t="s">
        <v>414</v>
      </c>
      <c r="D368" t="s">
        <v>519</v>
      </c>
      <c r="E368" t="s">
        <v>598</v>
      </c>
      <c r="G368" t="s">
        <v>207</v>
      </c>
      <c r="L368" t="s">
        <v>127</v>
      </c>
      <c r="M368" t="s">
        <v>509</v>
      </c>
      <c r="N368" t="s">
        <v>414</v>
      </c>
      <c r="O368" t="s">
        <v>519</v>
      </c>
      <c r="P368" t="s">
        <v>598</v>
      </c>
      <c r="R368" t="s">
        <v>207</v>
      </c>
    </row>
    <row r="369" spans="1:18" ht="12.75">
      <c r="A369">
        <v>5</v>
      </c>
      <c r="B369">
        <v>26</v>
      </c>
      <c r="C369" s="3">
        <v>0.25</v>
      </c>
      <c r="D369" s="60">
        <f>COUNT(C369:C375)</f>
        <v>7</v>
      </c>
      <c r="E369" s="3">
        <f>AVERAGE(C369:C375)</f>
        <v>0.22714285714285712</v>
      </c>
      <c r="G369" s="3">
        <f aca="true" t="shared" si="85" ref="G369:G375">LOG10(C369)</f>
        <v>-0.6020599913279624</v>
      </c>
      <c r="L369">
        <v>5</v>
      </c>
      <c r="M369">
        <v>26</v>
      </c>
      <c r="N369" s="3">
        <f aca="true" t="shared" si="86" ref="N369:N375">-LN(1-C369)</f>
        <v>0.2876820724517809</v>
      </c>
      <c r="O369" s="60">
        <f>COUNT(N369:N375)</f>
        <v>7</v>
      </c>
      <c r="P369" s="3">
        <f>AVERAGE(N369:N375)</f>
        <v>0.2594764503792725</v>
      </c>
      <c r="R369" s="3">
        <f aca="true" t="shared" si="87" ref="R369:R375">LOG10(N369)</f>
        <v>-0.5410872012930469</v>
      </c>
    </row>
    <row r="370" spans="1:18" ht="12.75">
      <c r="A370">
        <v>11</v>
      </c>
      <c r="B370">
        <v>27</v>
      </c>
      <c r="C370" s="3">
        <v>0.2</v>
      </c>
      <c r="E370" t="s">
        <v>431</v>
      </c>
      <c r="G370" s="3">
        <f t="shared" si="85"/>
        <v>-0.6989700043360187</v>
      </c>
      <c r="L370">
        <v>11</v>
      </c>
      <c r="M370">
        <v>27</v>
      </c>
      <c r="N370" s="3">
        <f t="shared" si="86"/>
        <v>0.22314355131420968</v>
      </c>
      <c r="P370" t="s">
        <v>431</v>
      </c>
      <c r="R370" s="3">
        <f t="shared" si="87"/>
        <v>-0.6514156594356943</v>
      </c>
    </row>
    <row r="371" spans="1:18" ht="12.75">
      <c r="A371">
        <v>15</v>
      </c>
      <c r="B371">
        <v>40</v>
      </c>
      <c r="C371" s="3">
        <v>0.27</v>
      </c>
      <c r="E371" s="3">
        <f>STDEV(C369:C375)</f>
        <v>0.0502375310282019</v>
      </c>
      <c r="G371" s="3">
        <f t="shared" si="85"/>
        <v>-0.5686362358410126</v>
      </c>
      <c r="L371">
        <v>15</v>
      </c>
      <c r="M371">
        <v>40</v>
      </c>
      <c r="N371" s="3">
        <f t="shared" si="86"/>
        <v>0.31471074483970024</v>
      </c>
      <c r="P371" s="3">
        <f>STDEV(N369:N375)</f>
        <v>0.06513599075167602</v>
      </c>
      <c r="R371" s="3">
        <f t="shared" si="87"/>
        <v>-0.5020884291715288</v>
      </c>
    </row>
    <row r="372" spans="1:18" ht="12.75">
      <c r="A372">
        <f>A371+1</f>
        <v>16</v>
      </c>
      <c r="B372">
        <v>40</v>
      </c>
      <c r="C372" s="3">
        <v>0.22</v>
      </c>
      <c r="E372" t="s">
        <v>126</v>
      </c>
      <c r="F372" s="89" t="s">
        <v>323</v>
      </c>
      <c r="G372" s="3">
        <f t="shared" si="85"/>
        <v>-0.6575773191777937</v>
      </c>
      <c r="L372">
        <f>L371+1</f>
        <v>16</v>
      </c>
      <c r="M372">
        <v>40</v>
      </c>
      <c r="N372" s="3">
        <f t="shared" si="86"/>
        <v>0.24846135929849958</v>
      </c>
      <c r="P372" t="s">
        <v>126</v>
      </c>
      <c r="Q372" s="89" t="s">
        <v>323</v>
      </c>
      <c r="R372" s="3">
        <f t="shared" si="87"/>
        <v>-0.6047411431410941</v>
      </c>
    </row>
    <row r="373" spans="1:18" ht="12.75">
      <c r="A373">
        <v>20</v>
      </c>
      <c r="B373">
        <v>28</v>
      </c>
      <c r="C373" s="3">
        <v>0.2</v>
      </c>
      <c r="E373" s="3">
        <f>EXP(SQRT(LN(POWER(E371,2)/POWER(E369,2)+1)))</f>
        <v>1.2442540047633162</v>
      </c>
      <c r="F373" s="90">
        <f>F375/E375</f>
        <v>1.0545208970752467</v>
      </c>
      <c r="G373" s="3">
        <f t="shared" si="85"/>
        <v>-0.6989700043360187</v>
      </c>
      <c r="L373">
        <v>20</v>
      </c>
      <c r="M373">
        <v>28</v>
      </c>
      <c r="N373" s="3">
        <f t="shared" si="86"/>
        <v>0.22314355131420968</v>
      </c>
      <c r="P373" s="3">
        <f>EXP(SQRT(LN(POWER(P371,2)/POWER(P369,2)+1)))</f>
        <v>1.2804395041877963</v>
      </c>
      <c r="Q373" s="90">
        <f>Q375/P375</f>
        <v>1.0571706023908076</v>
      </c>
      <c r="R373" s="3">
        <f t="shared" si="87"/>
        <v>-0.6514156594356943</v>
      </c>
    </row>
    <row r="374" spans="1:18" ht="12.75">
      <c r="A374">
        <f>A373+1</f>
        <v>21</v>
      </c>
      <c r="B374">
        <v>35</v>
      </c>
      <c r="C374" s="3">
        <v>0.15</v>
      </c>
      <c r="E374" t="s">
        <v>384</v>
      </c>
      <c r="F374" t="s">
        <v>384</v>
      </c>
      <c r="G374" s="3">
        <f t="shared" si="85"/>
        <v>-0.8239087409443188</v>
      </c>
      <c r="L374">
        <f>L373+1</f>
        <v>21</v>
      </c>
      <c r="M374">
        <v>35</v>
      </c>
      <c r="N374" s="3">
        <f t="shared" si="86"/>
        <v>0.1625189294977749</v>
      </c>
      <c r="P374" t="s">
        <v>384</v>
      </c>
      <c r="Q374" t="s">
        <v>384</v>
      </c>
      <c r="R374" s="3">
        <f t="shared" si="87"/>
        <v>-0.7890960470073316</v>
      </c>
    </row>
    <row r="375" spans="1:18" ht="12.75">
      <c r="A375">
        <v>24</v>
      </c>
      <c r="B375">
        <v>35</v>
      </c>
      <c r="C375" s="3">
        <v>0.3</v>
      </c>
      <c r="E375" s="40">
        <f>LOG10(E373)</f>
        <v>0.09490904724110438</v>
      </c>
      <c r="F375" s="6">
        <f>STDEV(G369:G376)</f>
        <v>0.10008357363724635</v>
      </c>
      <c r="G375" s="3">
        <f t="shared" si="85"/>
        <v>-0.5228787452803376</v>
      </c>
      <c r="L375">
        <v>24</v>
      </c>
      <c r="M375">
        <v>35</v>
      </c>
      <c r="N375" s="3">
        <f t="shared" si="86"/>
        <v>0.3566749439387324</v>
      </c>
      <c r="P375" s="40">
        <f>LOG10(P373)</f>
        <v>0.10735906455528232</v>
      </c>
      <c r="Q375" s="94">
        <f>STDEV(R369:R376)</f>
        <v>0.11349684694802141</v>
      </c>
      <c r="R375" s="3">
        <f t="shared" si="87"/>
        <v>-0.44772739834696257</v>
      </c>
    </row>
    <row r="377" spans="1:12" ht="12.75">
      <c r="A377" s="58" t="s">
        <v>421</v>
      </c>
      <c r="L377" s="58" t="s">
        <v>421</v>
      </c>
    </row>
    <row r="378" spans="1:12" ht="12.75">
      <c r="A378" s="59" t="s">
        <v>492</v>
      </c>
      <c r="L378" s="59" t="s">
        <v>492</v>
      </c>
    </row>
    <row r="379" spans="1:18" ht="12.75">
      <c r="A379" t="s">
        <v>127</v>
      </c>
      <c r="B379" t="s">
        <v>509</v>
      </c>
      <c r="C379" t="s">
        <v>414</v>
      </c>
      <c r="D379" t="s">
        <v>519</v>
      </c>
      <c r="E379" t="s">
        <v>598</v>
      </c>
      <c r="G379" t="s">
        <v>207</v>
      </c>
      <c r="L379" t="s">
        <v>127</v>
      </c>
      <c r="M379" t="s">
        <v>509</v>
      </c>
      <c r="N379" t="s">
        <v>414</v>
      </c>
      <c r="O379" t="s">
        <v>519</v>
      </c>
      <c r="P379" t="s">
        <v>598</v>
      </c>
      <c r="R379" t="s">
        <v>207</v>
      </c>
    </row>
    <row r="380" spans="1:18" ht="12.75">
      <c r="A380">
        <v>5</v>
      </c>
      <c r="B380">
        <v>26</v>
      </c>
      <c r="C380" s="3">
        <v>0.3</v>
      </c>
      <c r="D380" s="60">
        <f>COUNT(C380:C386)</f>
        <v>7</v>
      </c>
      <c r="E380" s="3">
        <f>AVERAGE(C380:C386)</f>
        <v>0.25214285714285717</v>
      </c>
      <c r="G380" s="3">
        <f aca="true" t="shared" si="88" ref="G380:G386">LOG10(C380)</f>
        <v>-0.5228787452803376</v>
      </c>
      <c r="L380">
        <v>5</v>
      </c>
      <c r="M380">
        <v>26</v>
      </c>
      <c r="N380" s="3">
        <f aca="true" t="shared" si="89" ref="N380:N386">-LN(1-C380)</f>
        <v>0.3566749439387324</v>
      </c>
      <c r="O380" s="60">
        <f>COUNT(N380:N386)</f>
        <v>7</v>
      </c>
      <c r="P380" s="3">
        <f>AVERAGE(N380:N386)</f>
        <v>0.29276747211985654</v>
      </c>
      <c r="R380" s="3">
        <f aca="true" t="shared" si="90" ref="R380:R386">LOG10(N380)</f>
        <v>-0.44772739834696257</v>
      </c>
    </row>
    <row r="381" spans="1:18" ht="12.75">
      <c r="A381">
        <v>11</v>
      </c>
      <c r="B381">
        <v>27</v>
      </c>
      <c r="C381" s="3">
        <v>0.22</v>
      </c>
      <c r="E381" t="s">
        <v>431</v>
      </c>
      <c r="G381" s="3">
        <f t="shared" si="88"/>
        <v>-0.6575773191777937</v>
      </c>
      <c r="L381">
        <v>11</v>
      </c>
      <c r="M381">
        <v>27</v>
      </c>
      <c r="N381" s="3">
        <f t="shared" si="89"/>
        <v>0.24846135929849958</v>
      </c>
      <c r="P381" t="s">
        <v>431</v>
      </c>
      <c r="R381" s="3">
        <f t="shared" si="90"/>
        <v>-0.6047411431410941</v>
      </c>
    </row>
    <row r="382" spans="1:18" ht="12.75">
      <c r="A382">
        <v>15</v>
      </c>
      <c r="B382">
        <v>40</v>
      </c>
      <c r="C382" s="3">
        <v>0.29</v>
      </c>
      <c r="E382" s="3">
        <f>STDEV(C380:C386)</f>
        <v>0.053995149693988</v>
      </c>
      <c r="G382" s="3">
        <f t="shared" si="88"/>
        <v>-0.5376020021010439</v>
      </c>
      <c r="L382">
        <v>15</v>
      </c>
      <c r="M382">
        <v>40</v>
      </c>
      <c r="N382" s="3">
        <f t="shared" si="89"/>
        <v>0.342490308946776</v>
      </c>
      <c r="P382" s="3">
        <f>STDEV(N380:N386)</f>
        <v>0.07196527133203129</v>
      </c>
      <c r="R382" s="3">
        <f t="shared" si="90"/>
        <v>-0.46535171272771275</v>
      </c>
    </row>
    <row r="383" spans="1:18" ht="12.75">
      <c r="A383">
        <f>A382+1</f>
        <v>16</v>
      </c>
      <c r="B383">
        <v>40</v>
      </c>
      <c r="C383" s="3">
        <v>0.25</v>
      </c>
      <c r="E383" t="s">
        <v>126</v>
      </c>
      <c r="F383" s="89" t="s">
        <v>323</v>
      </c>
      <c r="G383" s="3">
        <f t="shared" si="88"/>
        <v>-0.6020599913279624</v>
      </c>
      <c r="L383">
        <f>L382+1</f>
        <v>16</v>
      </c>
      <c r="M383">
        <v>40</v>
      </c>
      <c r="N383" s="3">
        <f t="shared" si="89"/>
        <v>0.2876820724517809</v>
      </c>
      <c r="P383" t="s">
        <v>126</v>
      </c>
      <c r="Q383" s="89" t="s">
        <v>323</v>
      </c>
      <c r="R383" s="3">
        <f t="shared" si="90"/>
        <v>-0.5410872012930469</v>
      </c>
    </row>
    <row r="384" spans="1:18" ht="12.75">
      <c r="A384">
        <v>20</v>
      </c>
      <c r="B384">
        <v>28</v>
      </c>
      <c r="C384" s="3">
        <v>0.215</v>
      </c>
      <c r="E384" s="3">
        <f>EXP(SQRT(LN(POWER(E382,2)/POWER(E380,2)+1)))</f>
        <v>1.2358378497551372</v>
      </c>
      <c r="F384" s="90">
        <f>F386/E386</f>
        <v>1.061194865560289</v>
      </c>
      <c r="G384" s="3">
        <f t="shared" si="88"/>
        <v>-0.6675615400843947</v>
      </c>
      <c r="L384">
        <v>20</v>
      </c>
      <c r="M384">
        <v>28</v>
      </c>
      <c r="N384" s="3">
        <f t="shared" si="89"/>
        <v>0.24207156119972859</v>
      </c>
      <c r="P384" s="3">
        <f>EXP(SQRT(LN(POWER(P382,2)/POWER(P380,2)+1)))</f>
        <v>1.2740668179130332</v>
      </c>
      <c r="Q384" s="90">
        <f>Q386/P386</f>
        <v>1.068315955570592</v>
      </c>
      <c r="R384" s="3">
        <f t="shared" si="90"/>
        <v>-0.6160562288957069</v>
      </c>
    </row>
    <row r="385" spans="1:18" ht="12.75">
      <c r="A385">
        <f>A384+1</f>
        <v>21</v>
      </c>
      <c r="B385">
        <v>35</v>
      </c>
      <c r="C385" s="3">
        <v>0.17</v>
      </c>
      <c r="E385" t="s">
        <v>384</v>
      </c>
      <c r="F385" t="s">
        <v>384</v>
      </c>
      <c r="G385" s="3">
        <f t="shared" si="88"/>
        <v>-0.769551078621726</v>
      </c>
      <c r="L385">
        <f>L384+1</f>
        <v>21</v>
      </c>
      <c r="M385">
        <v>35</v>
      </c>
      <c r="N385" s="3">
        <f t="shared" si="89"/>
        <v>0.18632957819149348</v>
      </c>
      <c r="P385" t="s">
        <v>384</v>
      </c>
      <c r="Q385" t="s">
        <v>384</v>
      </c>
      <c r="R385" s="3">
        <f t="shared" si="90"/>
        <v>-0.7297181991792839</v>
      </c>
    </row>
    <row r="386" spans="1:18" ht="12.75">
      <c r="A386">
        <v>24</v>
      </c>
      <c r="B386">
        <v>35</v>
      </c>
      <c r="C386" s="3">
        <v>0.32</v>
      </c>
      <c r="E386" s="40">
        <f>LOG10(E384)</f>
        <v>0.09196149213124936</v>
      </c>
      <c r="F386" s="94">
        <f>STDEV(G380:G387)</f>
        <v>0.09758906327894473</v>
      </c>
      <c r="G386" s="3">
        <f t="shared" si="88"/>
        <v>-0.494850021680094</v>
      </c>
      <c r="L386">
        <v>24</v>
      </c>
      <c r="M386">
        <v>35</v>
      </c>
      <c r="N386" s="3">
        <f t="shared" si="89"/>
        <v>0.3856624808119848</v>
      </c>
      <c r="P386" s="40">
        <f>LOG10(P384)</f>
        <v>0.10519220499303153</v>
      </c>
      <c r="Q386" s="94">
        <f>STDEV(R380:R387)</f>
        <v>0.11237851099570807</v>
      </c>
      <c r="R386" s="3">
        <f t="shared" si="90"/>
        <v>-0.41379260943288027</v>
      </c>
    </row>
    <row r="388" spans="1:12" ht="12.75">
      <c r="A388" s="58" t="s">
        <v>421</v>
      </c>
      <c r="L388" s="58" t="s">
        <v>421</v>
      </c>
    </row>
    <row r="389" spans="1:12" ht="12.75">
      <c r="A389" s="59" t="s">
        <v>16</v>
      </c>
      <c r="L389" s="59" t="s">
        <v>16</v>
      </c>
    </row>
    <row r="390" spans="1:18" ht="12.75">
      <c r="A390" t="s">
        <v>127</v>
      </c>
      <c r="B390" t="s">
        <v>509</v>
      </c>
      <c r="C390" t="s">
        <v>414</v>
      </c>
      <c r="D390" t="s">
        <v>519</v>
      </c>
      <c r="E390" t="s">
        <v>598</v>
      </c>
      <c r="G390" t="s">
        <v>207</v>
      </c>
      <c r="L390" t="s">
        <v>127</v>
      </c>
      <c r="M390" t="s">
        <v>509</v>
      </c>
      <c r="N390" t="s">
        <v>414</v>
      </c>
      <c r="O390" t="s">
        <v>519</v>
      </c>
      <c r="P390" t="s">
        <v>598</v>
      </c>
      <c r="R390" t="s">
        <v>207</v>
      </c>
    </row>
    <row r="391" spans="1:18" ht="12.75">
      <c r="A391">
        <v>5</v>
      </c>
      <c r="B391">
        <v>26</v>
      </c>
      <c r="C391" s="3">
        <v>0.225</v>
      </c>
      <c r="D391" s="60">
        <f>COUNT(C391:C397)</f>
        <v>7</v>
      </c>
      <c r="E391" s="3">
        <f>AVERAGE(C391:C397)</f>
        <v>0.19214285714285714</v>
      </c>
      <c r="G391" s="3">
        <f aca="true" t="shared" si="91" ref="G391:G397">LOG10(C391)</f>
        <v>-0.6478174818886375</v>
      </c>
      <c r="L391">
        <v>5</v>
      </c>
      <c r="M391">
        <v>26</v>
      </c>
      <c r="N391" s="3">
        <f aca="true" t="shared" si="92" ref="N391:N397">-LN(1-C391)</f>
        <v>0.25489224962879004</v>
      </c>
      <c r="O391" s="60">
        <f>COUNT(N391:N397)</f>
        <v>7</v>
      </c>
      <c r="P391" s="3">
        <f>AVERAGE(N391:N397)</f>
        <v>0.2150400147360174</v>
      </c>
      <c r="R391" s="3">
        <f aca="true" t="shared" si="93" ref="R391:R397">LOG10(N391)</f>
        <v>-0.5936433696881349</v>
      </c>
    </row>
    <row r="392" spans="1:18" ht="12.75">
      <c r="A392">
        <v>11</v>
      </c>
      <c r="B392">
        <v>27</v>
      </c>
      <c r="C392" s="3">
        <v>0.17</v>
      </c>
      <c r="E392" t="s">
        <v>431</v>
      </c>
      <c r="G392" s="3">
        <f t="shared" si="91"/>
        <v>-0.769551078621726</v>
      </c>
      <c r="L392">
        <v>11</v>
      </c>
      <c r="M392">
        <v>27</v>
      </c>
      <c r="N392" s="3">
        <f t="shared" si="92"/>
        <v>0.18632957819149348</v>
      </c>
      <c r="P392" t="s">
        <v>431</v>
      </c>
      <c r="R392" s="3">
        <f t="shared" si="93"/>
        <v>-0.7297181991792839</v>
      </c>
    </row>
    <row r="393" spans="1:18" ht="12.75">
      <c r="A393">
        <v>15</v>
      </c>
      <c r="B393">
        <v>40</v>
      </c>
      <c r="C393" s="3">
        <v>0.24</v>
      </c>
      <c r="E393" s="3">
        <f>STDEV(C391:C397)</f>
        <v>0.05032040199703161</v>
      </c>
      <c r="G393" s="3">
        <f t="shared" si="91"/>
        <v>-0.619788758288394</v>
      </c>
      <c r="L393">
        <v>15</v>
      </c>
      <c r="M393">
        <v>40</v>
      </c>
      <c r="N393" s="3">
        <f t="shared" si="92"/>
        <v>0.27443684570176025</v>
      </c>
      <c r="P393" s="3">
        <f>STDEV(N391:N397)</f>
        <v>0.06249314687065832</v>
      </c>
      <c r="R393" s="3">
        <f t="shared" si="93"/>
        <v>-0.5615575809729126</v>
      </c>
    </row>
    <row r="394" spans="1:18" ht="12.75">
      <c r="A394">
        <f>A393+1</f>
        <v>16</v>
      </c>
      <c r="B394">
        <v>40</v>
      </c>
      <c r="C394" s="3">
        <v>0.17</v>
      </c>
      <c r="E394" t="s">
        <v>126</v>
      </c>
      <c r="F394" s="89" t="s">
        <v>323</v>
      </c>
      <c r="G394" s="3">
        <f t="shared" si="91"/>
        <v>-0.769551078621726</v>
      </c>
      <c r="L394">
        <f>L393+1</f>
        <v>16</v>
      </c>
      <c r="M394">
        <v>40</v>
      </c>
      <c r="N394" s="3">
        <f t="shared" si="92"/>
        <v>0.18632957819149348</v>
      </c>
      <c r="P394" t="s">
        <v>126</v>
      </c>
      <c r="Q394" s="89" t="s">
        <v>323</v>
      </c>
      <c r="R394" s="3">
        <f t="shared" si="93"/>
        <v>-0.7297181991792839</v>
      </c>
    </row>
    <row r="395" spans="1:18" ht="12.75">
      <c r="A395">
        <v>20</v>
      </c>
      <c r="B395">
        <v>28</v>
      </c>
      <c r="C395" s="3">
        <v>0.16</v>
      </c>
      <c r="E395" s="3">
        <f>EXP(SQRT(LN(POWER(E393,2)/POWER(E391,2)+1)))</f>
        <v>1.2937688125408209</v>
      </c>
      <c r="F395" s="90">
        <f>F397/E397</f>
        <v>1.056523513316051</v>
      </c>
      <c r="G395" s="3">
        <f t="shared" si="91"/>
        <v>-0.7958800173440752</v>
      </c>
      <c r="L395">
        <v>20</v>
      </c>
      <c r="M395">
        <v>28</v>
      </c>
      <c r="N395" s="3">
        <f t="shared" si="92"/>
        <v>0.1743533871447778</v>
      </c>
      <c r="P395" s="3">
        <f>EXP(SQRT(LN(POWER(P393,2)/POWER(P391,2)+1)))</f>
        <v>1.3294183035209173</v>
      </c>
      <c r="Q395" s="90">
        <f>Q397/P397</f>
        <v>1.0605678401555112</v>
      </c>
      <c r="R395" s="3">
        <f t="shared" si="93"/>
        <v>-0.7585696112131687</v>
      </c>
    </row>
    <row r="396" spans="1:18" ht="12.75">
      <c r="A396">
        <f>A395+1</f>
        <v>21</v>
      </c>
      <c r="B396">
        <v>35</v>
      </c>
      <c r="C396" s="3">
        <v>0.12</v>
      </c>
      <c r="E396" t="s">
        <v>384</v>
      </c>
      <c r="F396" t="s">
        <v>384</v>
      </c>
      <c r="G396" s="3">
        <f t="shared" si="91"/>
        <v>-0.9208187539523751</v>
      </c>
      <c r="L396">
        <f>L395+1</f>
        <v>21</v>
      </c>
      <c r="M396">
        <v>35</v>
      </c>
      <c r="N396" s="3">
        <f t="shared" si="92"/>
        <v>0.12783337150988489</v>
      </c>
      <c r="P396" t="s">
        <v>384</v>
      </c>
      <c r="Q396" t="s">
        <v>384</v>
      </c>
      <c r="R396" s="3">
        <f t="shared" si="93"/>
        <v>-0.8933557567356024</v>
      </c>
    </row>
    <row r="397" spans="1:18" ht="12.75">
      <c r="A397">
        <v>24</v>
      </c>
      <c r="B397">
        <v>35</v>
      </c>
      <c r="C397" s="3">
        <v>0.26</v>
      </c>
      <c r="E397" s="40">
        <f>LOG10(E395)</f>
        <v>0.11185667787211796</v>
      </c>
      <c r="F397" s="6">
        <f>STDEV(G391:G397)</f>
        <v>0.11817921029331185</v>
      </c>
      <c r="G397" s="3">
        <f t="shared" si="91"/>
        <v>-0.585026652029182</v>
      </c>
      <c r="L397">
        <v>24</v>
      </c>
      <c r="M397">
        <v>35</v>
      </c>
      <c r="N397" s="3">
        <f t="shared" si="92"/>
        <v>0.30110509278392167</v>
      </c>
      <c r="P397" s="40">
        <f>LOG10(P395)</f>
        <v>0.12366165387501941</v>
      </c>
      <c r="Q397" s="94">
        <f>STDEV(R391:R397)</f>
        <v>0.13115157316028775</v>
      </c>
      <c r="R397" s="3">
        <f t="shared" si="93"/>
        <v>-0.5212818989234742</v>
      </c>
    </row>
    <row r="399" spans="1:12" ht="12.75">
      <c r="A399" s="58" t="s">
        <v>421</v>
      </c>
      <c r="L399" s="58" t="s">
        <v>421</v>
      </c>
    </row>
    <row r="400" spans="1:12" ht="12.75">
      <c r="A400" s="59" t="s">
        <v>17</v>
      </c>
      <c r="L400" s="59" t="s">
        <v>17</v>
      </c>
    </row>
    <row r="401" spans="1:18" ht="12.75">
      <c r="A401" t="s">
        <v>127</v>
      </c>
      <c r="B401" t="s">
        <v>509</v>
      </c>
      <c r="C401" t="s">
        <v>414</v>
      </c>
      <c r="D401" t="s">
        <v>519</v>
      </c>
      <c r="E401" t="s">
        <v>598</v>
      </c>
      <c r="G401" t="s">
        <v>207</v>
      </c>
      <c r="L401" t="s">
        <v>127</v>
      </c>
      <c r="M401" t="s">
        <v>509</v>
      </c>
      <c r="N401" t="s">
        <v>414</v>
      </c>
      <c r="O401" t="s">
        <v>519</v>
      </c>
      <c r="P401" t="s">
        <v>598</v>
      </c>
      <c r="R401" t="s">
        <v>207</v>
      </c>
    </row>
    <row r="402" spans="1:18" ht="12.75">
      <c r="A402">
        <v>5</v>
      </c>
      <c r="B402">
        <v>26</v>
      </c>
      <c r="C402" s="3">
        <v>0.235</v>
      </c>
      <c r="D402" s="60">
        <f>COUNT(C402:C408)</f>
        <v>7</v>
      </c>
      <c r="E402" s="3">
        <f>AVERAGE(C402:C408)</f>
        <v>0.205</v>
      </c>
      <c r="G402" s="3">
        <f aca="true" t="shared" si="94" ref="G402:G408">LOG10(C402)</f>
        <v>-0.6289321377282637</v>
      </c>
      <c r="L402">
        <v>5</v>
      </c>
      <c r="M402">
        <v>26</v>
      </c>
      <c r="N402" s="3">
        <f aca="true" t="shared" si="95" ref="N402:N408">-LN(1-C402)</f>
        <v>0.2678794451556012</v>
      </c>
      <c r="O402" s="60">
        <f>COUNT(N402:N408)</f>
        <v>7</v>
      </c>
      <c r="P402" s="3">
        <f>AVERAGE(N402:N408)</f>
        <v>0.2317386150054905</v>
      </c>
      <c r="R402" s="3">
        <f aca="true" t="shared" si="96" ref="R402:R408">LOG10(N402)</f>
        <v>-0.5720606092659098</v>
      </c>
    </row>
    <row r="403" spans="1:18" ht="12.75">
      <c r="A403">
        <v>11</v>
      </c>
      <c r="B403">
        <v>27</v>
      </c>
      <c r="C403" s="3">
        <v>0.165</v>
      </c>
      <c r="E403" t="s">
        <v>431</v>
      </c>
      <c r="G403" s="3">
        <f t="shared" si="94"/>
        <v>-0.7825160557860937</v>
      </c>
      <c r="L403">
        <v>11</v>
      </c>
      <c r="M403">
        <v>27</v>
      </c>
      <c r="N403" s="3">
        <f t="shared" si="95"/>
        <v>0.18032355413128162</v>
      </c>
      <c r="P403" t="s">
        <v>431</v>
      </c>
      <c r="R403" s="3">
        <f t="shared" si="96"/>
        <v>-0.7439475413800889</v>
      </c>
    </row>
    <row r="404" spans="1:18" ht="12.75">
      <c r="A404">
        <v>15</v>
      </c>
      <c r="B404">
        <v>40</v>
      </c>
      <c r="C404" s="3">
        <v>0.23</v>
      </c>
      <c r="E404" s="3">
        <f>STDEV(C402:C408)</f>
        <v>0.05816642788871714</v>
      </c>
      <c r="G404" s="3">
        <f t="shared" si="94"/>
        <v>-0.6382721639824072</v>
      </c>
      <c r="L404">
        <v>15</v>
      </c>
      <c r="M404">
        <v>40</v>
      </c>
      <c r="N404" s="3">
        <f t="shared" si="95"/>
        <v>0.2613647641344075</v>
      </c>
      <c r="P404" s="3">
        <f>STDEV(N402:N408)</f>
        <v>0.07393507462234333</v>
      </c>
      <c r="R404" s="3">
        <f t="shared" si="96"/>
        <v>-0.5827529621780622</v>
      </c>
    </row>
    <row r="405" spans="1:18" ht="12.75">
      <c r="A405">
        <f>A404+1</f>
        <v>16</v>
      </c>
      <c r="B405">
        <v>40</v>
      </c>
      <c r="C405" s="3">
        <v>0.21</v>
      </c>
      <c r="E405" t="s">
        <v>126</v>
      </c>
      <c r="F405" s="89" t="s">
        <v>323</v>
      </c>
      <c r="G405" s="3">
        <f t="shared" si="94"/>
        <v>-0.6777807052660807</v>
      </c>
      <c r="L405">
        <f>L404+1</f>
        <v>16</v>
      </c>
      <c r="M405">
        <v>40</v>
      </c>
      <c r="N405" s="3">
        <f t="shared" si="95"/>
        <v>0.23572233352106983</v>
      </c>
      <c r="P405" t="s">
        <v>126</v>
      </c>
      <c r="Q405" s="89" t="s">
        <v>323</v>
      </c>
      <c r="R405" s="3">
        <f t="shared" si="96"/>
        <v>-0.6275992682798079</v>
      </c>
    </row>
    <row r="406" spans="1:18" ht="12.75">
      <c r="A406">
        <v>20</v>
      </c>
      <c r="B406">
        <v>28</v>
      </c>
      <c r="C406" s="3">
        <v>0.175</v>
      </c>
      <c r="E406" s="3">
        <f>EXP(SQRT(LN(POWER(E404,2)/POWER(E402,2)+1)))</f>
        <v>1.320835109830373</v>
      </c>
      <c r="F406" s="90">
        <f>F408/E408</f>
        <v>1.0652134721535342</v>
      </c>
      <c r="G406" s="3">
        <f t="shared" si="94"/>
        <v>-0.7569619513137056</v>
      </c>
      <c r="L406">
        <v>20</v>
      </c>
      <c r="M406">
        <v>28</v>
      </c>
      <c r="N406" s="3">
        <f t="shared" si="95"/>
        <v>0.1923718926474561</v>
      </c>
      <c r="P406" s="3">
        <f>EXP(SQRT(LN(POWER(P404,2)/POWER(P402,2)+1)))</f>
        <v>1.3652606590491703</v>
      </c>
      <c r="Q406" s="90">
        <f>Q408/P408</f>
        <v>1.064211564453814</v>
      </c>
      <c r="R406" s="3">
        <f t="shared" si="96"/>
        <v>-0.715858382193407</v>
      </c>
    </row>
    <row r="407" spans="1:18" ht="12.75">
      <c r="A407">
        <f>A406+1</f>
        <v>21</v>
      </c>
      <c r="B407">
        <v>35</v>
      </c>
      <c r="C407" s="3">
        <v>0.12</v>
      </c>
      <c r="E407" t="s">
        <v>384</v>
      </c>
      <c r="F407" t="s">
        <v>384</v>
      </c>
      <c r="G407" s="3">
        <f t="shared" si="94"/>
        <v>-0.9208187539523751</v>
      </c>
      <c r="L407">
        <f>L406+1</f>
        <v>21</v>
      </c>
      <c r="M407">
        <v>35</v>
      </c>
      <c r="N407" s="3">
        <f t="shared" si="95"/>
        <v>0.12783337150988489</v>
      </c>
      <c r="P407" t="s">
        <v>384</v>
      </c>
      <c r="Q407" t="s">
        <v>384</v>
      </c>
      <c r="R407" s="3">
        <f t="shared" si="96"/>
        <v>-0.8933557567356024</v>
      </c>
    </row>
    <row r="408" spans="1:18" ht="12.75">
      <c r="A408">
        <v>24</v>
      </c>
      <c r="B408">
        <v>35</v>
      </c>
      <c r="C408" s="3">
        <v>0.3</v>
      </c>
      <c r="E408" s="40">
        <f>LOG10(E406)</f>
        <v>0.12084860462400736</v>
      </c>
      <c r="F408" s="6">
        <f>STDEV(G402:G409)</f>
        <v>0.12872956173644853</v>
      </c>
      <c r="G408" s="3">
        <f t="shared" si="94"/>
        <v>-0.5228787452803376</v>
      </c>
      <c r="L408">
        <v>24</v>
      </c>
      <c r="M408">
        <v>35</v>
      </c>
      <c r="N408" s="3">
        <f t="shared" si="95"/>
        <v>0.3566749439387324</v>
      </c>
      <c r="P408" s="40">
        <f>LOG10(P406)</f>
        <v>0.13521557590391223</v>
      </c>
      <c r="Q408" s="94">
        <f>STDEV(R402:R409)</f>
        <v>0.14389797957122585</v>
      </c>
      <c r="R408" s="3">
        <f t="shared" si="96"/>
        <v>-0.44772739834696257</v>
      </c>
    </row>
    <row r="410" spans="1:12" ht="12.75">
      <c r="A410" s="58" t="s">
        <v>421</v>
      </c>
      <c r="L410" s="58" t="s">
        <v>421</v>
      </c>
    </row>
    <row r="411" spans="1:12" ht="12.75">
      <c r="A411" s="59" t="s">
        <v>18</v>
      </c>
      <c r="L411" s="59" t="s">
        <v>18</v>
      </c>
    </row>
    <row r="412" spans="1:18" ht="12.75">
      <c r="A412" t="s">
        <v>127</v>
      </c>
      <c r="B412" t="s">
        <v>509</v>
      </c>
      <c r="C412" t="s">
        <v>414</v>
      </c>
      <c r="D412" t="s">
        <v>519</v>
      </c>
      <c r="E412" t="s">
        <v>598</v>
      </c>
      <c r="G412" t="s">
        <v>207</v>
      </c>
      <c r="L412" t="s">
        <v>127</v>
      </c>
      <c r="M412" t="s">
        <v>509</v>
      </c>
      <c r="N412" t="s">
        <v>414</v>
      </c>
      <c r="O412" t="s">
        <v>519</v>
      </c>
      <c r="P412" t="s">
        <v>598</v>
      </c>
      <c r="R412" t="s">
        <v>207</v>
      </c>
    </row>
    <row r="413" spans="1:18" ht="12.75">
      <c r="A413">
        <v>5</v>
      </c>
      <c r="B413">
        <v>26</v>
      </c>
      <c r="C413" s="3">
        <v>0.245</v>
      </c>
      <c r="D413" s="60">
        <f>COUNT(C413:C419)</f>
        <v>7</v>
      </c>
      <c r="E413" s="3">
        <f>AVERAGE(C413:C419)</f>
        <v>0.22428571428571425</v>
      </c>
      <c r="G413" s="3">
        <f aca="true" t="shared" si="97" ref="G413:G419">LOG10(C413)</f>
        <v>-0.6108339156354675</v>
      </c>
      <c r="L413">
        <v>5</v>
      </c>
      <c r="M413">
        <v>26</v>
      </c>
      <c r="N413" s="3">
        <f aca="true" t="shared" si="98" ref="N413:N419">-LN(1-C413)</f>
        <v>0.28103752973311236</v>
      </c>
      <c r="O413" s="60">
        <f>COUNT(N413:N419)</f>
        <v>7</v>
      </c>
      <c r="P413" s="3">
        <f>AVERAGE(N413:N419)</f>
        <v>0.2563127054772972</v>
      </c>
      <c r="R413" s="3">
        <f aca="true" t="shared" si="99" ref="R413:R419">LOG10(N413)</f>
        <v>-0.5512356805658497</v>
      </c>
    </row>
    <row r="414" spans="1:18" ht="12.75">
      <c r="A414">
        <v>11</v>
      </c>
      <c r="B414">
        <v>27</v>
      </c>
      <c r="C414" s="3">
        <v>0.19</v>
      </c>
      <c r="E414" t="s">
        <v>431</v>
      </c>
      <c r="G414" s="3">
        <f t="shared" si="97"/>
        <v>-0.721246399047171</v>
      </c>
      <c r="L414">
        <v>11</v>
      </c>
      <c r="M414">
        <v>27</v>
      </c>
      <c r="N414" s="3">
        <f t="shared" si="98"/>
        <v>0.21072103131565253</v>
      </c>
      <c r="P414" t="s">
        <v>431</v>
      </c>
      <c r="R414" s="3">
        <f t="shared" si="99"/>
        <v>-0.6762921168431828</v>
      </c>
    </row>
    <row r="415" spans="1:18" ht="12.75">
      <c r="A415">
        <v>15</v>
      </c>
      <c r="B415">
        <v>40</v>
      </c>
      <c r="C415" s="3">
        <v>0.275</v>
      </c>
      <c r="E415" s="3">
        <f>STDEV(C413:C419)</f>
        <v>0.05696699127774002</v>
      </c>
      <c r="G415" s="3">
        <f t="shared" si="97"/>
        <v>-0.5606673061697373</v>
      </c>
      <c r="L415">
        <v>15</v>
      </c>
      <c r="M415">
        <v>40</v>
      </c>
      <c r="N415" s="3">
        <f t="shared" si="98"/>
        <v>0.32158362412746233</v>
      </c>
      <c r="P415" s="3">
        <f>STDEV(N413:N419)</f>
        <v>0.07416840593602164</v>
      </c>
      <c r="R415" s="3">
        <f t="shared" si="99"/>
        <v>-0.4927060747623795</v>
      </c>
    </row>
    <row r="416" spans="1:18" ht="12.75">
      <c r="A416">
        <f>A415+1</f>
        <v>16</v>
      </c>
      <c r="B416">
        <v>40</v>
      </c>
      <c r="C416" s="3">
        <v>0.225</v>
      </c>
      <c r="E416" t="s">
        <v>126</v>
      </c>
      <c r="F416" s="89" t="s">
        <v>323</v>
      </c>
      <c r="G416" s="3">
        <f t="shared" si="97"/>
        <v>-0.6478174818886375</v>
      </c>
      <c r="L416">
        <f>L415+1</f>
        <v>16</v>
      </c>
      <c r="M416">
        <v>40</v>
      </c>
      <c r="N416" s="3">
        <f t="shared" si="98"/>
        <v>0.25489224962879004</v>
      </c>
      <c r="P416" t="s">
        <v>126</v>
      </c>
      <c r="Q416" s="89" t="s">
        <v>323</v>
      </c>
      <c r="R416" s="3">
        <f t="shared" si="99"/>
        <v>-0.5936433696881349</v>
      </c>
    </row>
    <row r="417" spans="1:18" ht="12.75">
      <c r="A417">
        <v>20</v>
      </c>
      <c r="B417">
        <v>28</v>
      </c>
      <c r="C417" s="3">
        <v>0.175</v>
      </c>
      <c r="E417" s="3">
        <f>EXP(SQRT(LN(POWER(E415,2)/POWER(E413,2)+1)))</f>
        <v>1.284068747083256</v>
      </c>
      <c r="F417" s="90">
        <f>F419/E419</f>
        <v>1.0319900797601074</v>
      </c>
      <c r="G417" s="3">
        <f t="shared" si="97"/>
        <v>-0.7569619513137056</v>
      </c>
      <c r="L417">
        <v>20</v>
      </c>
      <c r="M417">
        <v>28</v>
      </c>
      <c r="N417" s="3">
        <f t="shared" si="98"/>
        <v>0.1923718926474561</v>
      </c>
      <c r="P417" s="3">
        <f>EXP(SQRT(LN(POWER(P415,2)/POWER(P413,2)+1)))</f>
        <v>1.3278613362066092</v>
      </c>
      <c r="Q417" s="90">
        <f>Q419/P419</f>
        <v>1.0340158398904178</v>
      </c>
      <c r="R417" s="3">
        <f t="shared" si="99"/>
        <v>-0.715858382193407</v>
      </c>
    </row>
    <row r="418" spans="1:18" ht="12.75">
      <c r="A418">
        <f>A417+1</f>
        <v>21</v>
      </c>
      <c r="B418">
        <v>35</v>
      </c>
      <c r="C418" s="3">
        <v>0.15</v>
      </c>
      <c r="E418" t="s">
        <v>384</v>
      </c>
      <c r="F418" t="s">
        <v>384</v>
      </c>
      <c r="G418" s="3">
        <f t="shared" si="97"/>
        <v>-0.8239087409443188</v>
      </c>
      <c r="L418">
        <f>L417+1</f>
        <v>21</v>
      </c>
      <c r="M418">
        <v>35</v>
      </c>
      <c r="N418" s="3">
        <f t="shared" si="98"/>
        <v>0.1625189294977749</v>
      </c>
      <c r="P418" t="s">
        <v>384</v>
      </c>
      <c r="Q418" t="s">
        <v>384</v>
      </c>
      <c r="R418" s="3">
        <f t="shared" si="99"/>
        <v>-0.7890960470073316</v>
      </c>
    </row>
    <row r="419" spans="1:18" ht="12.75">
      <c r="A419">
        <v>24</v>
      </c>
      <c r="B419">
        <v>35</v>
      </c>
      <c r="C419" s="3">
        <v>0.31</v>
      </c>
      <c r="E419" s="40">
        <f>LOG10(E417)</f>
        <v>0.10858827581979358</v>
      </c>
      <c r="F419" s="6">
        <f>STDEV(G413:G420)</f>
        <v>0.11206202342428132</v>
      </c>
      <c r="G419" s="3">
        <f t="shared" si="97"/>
        <v>-0.5086383061657272</v>
      </c>
      <c r="L419">
        <v>24</v>
      </c>
      <c r="M419">
        <v>35</v>
      </c>
      <c r="N419" s="3">
        <f t="shared" si="98"/>
        <v>0.371063681390832</v>
      </c>
      <c r="P419" s="40">
        <f>LOG10(P417)</f>
        <v>0.12315272558581852</v>
      </c>
      <c r="Q419" s="94">
        <f>STDEV(R413:R420)</f>
        <v>0.12734186898141428</v>
      </c>
      <c r="R419" s="3">
        <f t="shared" si="99"/>
        <v>-0.4305515510229028</v>
      </c>
    </row>
    <row r="421" spans="1:12" ht="12.75">
      <c r="A421" s="58" t="s">
        <v>421</v>
      </c>
      <c r="L421" s="58" t="s">
        <v>421</v>
      </c>
    </row>
    <row r="422" spans="1:12" ht="12.75">
      <c r="A422" s="59" t="s">
        <v>19</v>
      </c>
      <c r="L422" s="59" t="s">
        <v>19</v>
      </c>
    </row>
    <row r="423" spans="1:18" ht="12.75">
      <c r="A423" t="s">
        <v>127</v>
      </c>
      <c r="B423" t="s">
        <v>509</v>
      </c>
      <c r="C423" t="s">
        <v>414</v>
      </c>
      <c r="D423" t="s">
        <v>519</v>
      </c>
      <c r="E423" t="s">
        <v>598</v>
      </c>
      <c r="G423" t="s">
        <v>207</v>
      </c>
      <c r="L423" t="s">
        <v>127</v>
      </c>
      <c r="M423" t="s">
        <v>509</v>
      </c>
      <c r="N423" t="s">
        <v>414</v>
      </c>
      <c r="O423" t="s">
        <v>519</v>
      </c>
      <c r="P423" t="s">
        <v>598</v>
      </c>
      <c r="R423" t="s">
        <v>207</v>
      </c>
    </row>
    <row r="424" spans="1:18" ht="12.75">
      <c r="A424">
        <v>5</v>
      </c>
      <c r="B424">
        <v>26</v>
      </c>
      <c r="C424" s="3">
        <v>0.18</v>
      </c>
      <c r="D424" s="60">
        <f>COUNT(C424:C430)</f>
        <v>7</v>
      </c>
      <c r="E424" s="3">
        <f>AVERAGE(C424:C430)</f>
        <v>0.18</v>
      </c>
      <c r="G424" s="3">
        <f aca="true" t="shared" si="100" ref="G424:G430">LOG10(C424)</f>
        <v>-0.7447274948966939</v>
      </c>
      <c r="L424">
        <v>5</v>
      </c>
      <c r="M424">
        <v>26</v>
      </c>
      <c r="N424" s="3">
        <f aca="true" t="shared" si="101" ref="N424:N430">-LN(1-C424)</f>
        <v>0.19845093872383818</v>
      </c>
      <c r="O424" s="60">
        <f>COUNT(N424:N430)</f>
        <v>7</v>
      </c>
      <c r="P424" s="3">
        <f>AVERAGE(N424:N430)</f>
        <v>0.2006344441263646</v>
      </c>
      <c r="R424" s="3">
        <f aca="true" t="shared" si="102" ref="R424:R430">LOG10(N424)</f>
        <v>-0.7023468424276733</v>
      </c>
    </row>
    <row r="425" spans="1:18" ht="12.75">
      <c r="A425">
        <v>11</v>
      </c>
      <c r="B425">
        <v>27</v>
      </c>
      <c r="C425" s="3">
        <v>0.155</v>
      </c>
      <c r="E425" t="s">
        <v>431</v>
      </c>
      <c r="G425" s="3">
        <f t="shared" si="100"/>
        <v>-0.8096683018297085</v>
      </c>
      <c r="L425">
        <v>11</v>
      </c>
      <c r="M425">
        <v>27</v>
      </c>
      <c r="N425" s="3">
        <f t="shared" si="101"/>
        <v>0.16841865162496322</v>
      </c>
      <c r="P425" t="s">
        <v>431</v>
      </c>
      <c r="R425" s="3">
        <f t="shared" si="102"/>
        <v>-0.7736098139691049</v>
      </c>
    </row>
    <row r="426" spans="1:18" ht="12.75">
      <c r="A426">
        <v>15</v>
      </c>
      <c r="B426">
        <v>40</v>
      </c>
      <c r="C426" s="3">
        <v>0.215</v>
      </c>
      <c r="E426" s="3">
        <f>STDEV(C424:C430)</f>
        <v>0.05708181263181234</v>
      </c>
      <c r="G426" s="3">
        <f t="shared" si="100"/>
        <v>-0.6675615400843947</v>
      </c>
      <c r="L426">
        <v>15</v>
      </c>
      <c r="M426">
        <v>40</v>
      </c>
      <c r="N426" s="3">
        <f t="shared" si="101"/>
        <v>0.24207156119972859</v>
      </c>
      <c r="P426" s="3">
        <f>STDEV(N424:N430)</f>
        <v>0.07228949568544916</v>
      </c>
      <c r="R426" s="3">
        <f t="shared" si="102"/>
        <v>-0.6160562288957069</v>
      </c>
    </row>
    <row r="427" spans="1:18" ht="12.75">
      <c r="A427">
        <f>A426+1</f>
        <v>16</v>
      </c>
      <c r="B427">
        <v>40</v>
      </c>
      <c r="C427" s="3">
        <v>0.16</v>
      </c>
      <c r="E427" t="s">
        <v>126</v>
      </c>
      <c r="F427" s="89" t="s">
        <v>323</v>
      </c>
      <c r="G427" s="3">
        <f t="shared" si="100"/>
        <v>-0.7958800173440752</v>
      </c>
      <c r="L427">
        <f>L426+1</f>
        <v>16</v>
      </c>
      <c r="M427">
        <v>40</v>
      </c>
      <c r="N427" s="3">
        <f t="shared" si="101"/>
        <v>0.1743533871447778</v>
      </c>
      <c r="P427" t="s">
        <v>126</v>
      </c>
      <c r="Q427" s="89" t="s">
        <v>323</v>
      </c>
      <c r="R427" s="3">
        <f t="shared" si="102"/>
        <v>-0.7585696112131687</v>
      </c>
    </row>
    <row r="428" spans="1:18" ht="12.75">
      <c r="A428">
        <v>20</v>
      </c>
      <c r="B428">
        <v>28</v>
      </c>
      <c r="C428" s="3">
        <v>0.12</v>
      </c>
      <c r="E428" s="3">
        <f>EXP(SQRT(LN(POWER(E426,2)/POWER(E424,2)+1)))</f>
        <v>1.3628188613093406</v>
      </c>
      <c r="F428" s="90">
        <f>F430/E430</f>
        <v>0.9440829403798371</v>
      </c>
      <c r="G428" s="3">
        <f t="shared" si="100"/>
        <v>-0.9208187539523751</v>
      </c>
      <c r="L428">
        <v>20</v>
      </c>
      <c r="M428">
        <v>28</v>
      </c>
      <c r="N428" s="3">
        <f t="shared" si="101"/>
        <v>0.12783337150988489</v>
      </c>
      <c r="P428" s="3">
        <f>EXP(SQRT(LN(POWER(P426,2)/POWER(P424,2)+1)))</f>
        <v>1.4181704662747494</v>
      </c>
      <c r="Q428" s="90">
        <f>Q430/P430</f>
        <v>0.9346766042264167</v>
      </c>
      <c r="R428" s="3">
        <f t="shared" si="102"/>
        <v>-0.8933557567356024</v>
      </c>
    </row>
    <row r="429" spans="1:18" ht="12.75">
      <c r="A429">
        <f>A428+1</f>
        <v>21</v>
      </c>
      <c r="B429">
        <v>35</v>
      </c>
      <c r="C429" s="3">
        <v>0.14</v>
      </c>
      <c r="E429" t="s">
        <v>384</v>
      </c>
      <c r="F429" t="s">
        <v>384</v>
      </c>
      <c r="G429" s="3">
        <f t="shared" si="100"/>
        <v>-0.8538719643217619</v>
      </c>
      <c r="L429">
        <f>L428+1</f>
        <v>21</v>
      </c>
      <c r="M429">
        <v>35</v>
      </c>
      <c r="N429" s="3">
        <f t="shared" si="101"/>
        <v>0.15082288973458366</v>
      </c>
      <c r="P429" t="s">
        <v>384</v>
      </c>
      <c r="Q429" t="s">
        <v>384</v>
      </c>
      <c r="R429" s="3">
        <f t="shared" si="102"/>
        <v>-0.8215327424779075</v>
      </c>
    </row>
    <row r="430" spans="1:18" ht="12.75">
      <c r="A430">
        <v>24</v>
      </c>
      <c r="B430">
        <v>35</v>
      </c>
      <c r="C430" s="3">
        <v>0.29</v>
      </c>
      <c r="E430" s="40">
        <f>LOG10(E428)</f>
        <v>0.1344381355400164</v>
      </c>
      <c r="F430" s="94">
        <f>STDEV(G424:G431)</f>
        <v>0.12692075029980177</v>
      </c>
      <c r="G430" s="3">
        <f t="shared" si="100"/>
        <v>-0.5376020021010439</v>
      </c>
      <c r="L430">
        <v>24</v>
      </c>
      <c r="M430">
        <v>35</v>
      </c>
      <c r="N430" s="3">
        <f t="shared" si="101"/>
        <v>0.342490308946776</v>
      </c>
      <c r="P430" s="40">
        <f>LOG10(P428)</f>
        <v>0.1517284368504906</v>
      </c>
      <c r="Q430" s="94">
        <f>STDEV(R424:R431)</f>
        <v>0.14181702011999886</v>
      </c>
      <c r="R430" s="3">
        <f t="shared" si="102"/>
        <v>-0.46535171272771275</v>
      </c>
    </row>
    <row r="432" spans="1:12" ht="12.75">
      <c r="A432" s="58" t="s">
        <v>421</v>
      </c>
      <c r="L432" s="58" t="s">
        <v>421</v>
      </c>
    </row>
    <row r="433" spans="1:12" ht="12.75">
      <c r="A433" s="59" t="s">
        <v>20</v>
      </c>
      <c r="L433" s="59" t="s">
        <v>20</v>
      </c>
    </row>
    <row r="434" spans="1:18" ht="12.75">
      <c r="A434" t="s">
        <v>127</v>
      </c>
      <c r="B434" t="s">
        <v>509</v>
      </c>
      <c r="C434" t="s">
        <v>414</v>
      </c>
      <c r="D434" t="s">
        <v>519</v>
      </c>
      <c r="E434" t="s">
        <v>598</v>
      </c>
      <c r="G434" t="s">
        <v>207</v>
      </c>
      <c r="L434" t="s">
        <v>127</v>
      </c>
      <c r="M434" t="s">
        <v>509</v>
      </c>
      <c r="N434" t="s">
        <v>414</v>
      </c>
      <c r="O434" t="s">
        <v>519</v>
      </c>
      <c r="P434" t="s">
        <v>598</v>
      </c>
      <c r="R434" t="s">
        <v>207</v>
      </c>
    </row>
    <row r="435" spans="1:18" ht="12.75">
      <c r="A435">
        <v>5</v>
      </c>
      <c r="B435">
        <v>26</v>
      </c>
      <c r="C435" s="3">
        <v>0.245</v>
      </c>
      <c r="D435" s="60">
        <f>COUNT(C435:C441)</f>
        <v>7</v>
      </c>
      <c r="E435" s="3">
        <f>AVERAGE(C435:C441)</f>
        <v>0.21357142857142855</v>
      </c>
      <c r="G435" s="3">
        <f aca="true" t="shared" si="103" ref="G435:G441">LOG10(C435)</f>
        <v>-0.6108339156354675</v>
      </c>
      <c r="L435">
        <v>5</v>
      </c>
      <c r="M435">
        <v>26</v>
      </c>
      <c r="N435" s="3">
        <f aca="true" t="shared" si="104" ref="N435:N441">-LN(1-C435)</f>
        <v>0.28103752973311236</v>
      </c>
      <c r="O435" s="60">
        <f>COUNT(N435:N441)</f>
        <v>7</v>
      </c>
      <c r="P435" s="3">
        <f>AVERAGE(N435:N441)</f>
        <v>0.2433245544981777</v>
      </c>
      <c r="R435" s="3">
        <f aca="true" t="shared" si="105" ref="R435:R441">LOG10(N435)</f>
        <v>-0.5512356805658497</v>
      </c>
    </row>
    <row r="436" spans="1:18" ht="12.75">
      <c r="A436">
        <v>11</v>
      </c>
      <c r="B436">
        <v>27</v>
      </c>
      <c r="C436" s="3">
        <v>0.17</v>
      </c>
      <c r="E436" t="s">
        <v>431</v>
      </c>
      <c r="G436" s="3">
        <f t="shared" si="103"/>
        <v>-0.769551078621726</v>
      </c>
      <c r="L436">
        <v>11</v>
      </c>
      <c r="M436">
        <v>27</v>
      </c>
      <c r="N436" s="3">
        <f t="shared" si="104"/>
        <v>0.18632957819149348</v>
      </c>
      <c r="P436" t="s">
        <v>431</v>
      </c>
      <c r="R436" s="3">
        <f t="shared" si="105"/>
        <v>-0.7297181991792839</v>
      </c>
    </row>
    <row r="437" spans="1:18" ht="12.75">
      <c r="A437">
        <v>15</v>
      </c>
      <c r="B437">
        <v>40</v>
      </c>
      <c r="C437" s="3">
        <v>0.27</v>
      </c>
      <c r="E437" s="3">
        <f>STDEV(C435:C441)</f>
        <v>0.06587325492402606</v>
      </c>
      <c r="G437" s="3">
        <f t="shared" si="103"/>
        <v>-0.5686362358410126</v>
      </c>
      <c r="L437">
        <v>15</v>
      </c>
      <c r="M437">
        <v>40</v>
      </c>
      <c r="N437" s="3">
        <f t="shared" si="104"/>
        <v>0.31471074483970024</v>
      </c>
      <c r="P437" s="3">
        <f>STDEV(N435:N441)</f>
        <v>0.08510969892866119</v>
      </c>
      <c r="R437" s="3">
        <f t="shared" si="105"/>
        <v>-0.5020884291715288</v>
      </c>
    </row>
    <row r="438" spans="1:18" ht="12.75">
      <c r="A438">
        <f>A437+1</f>
        <v>16</v>
      </c>
      <c r="B438">
        <v>40</v>
      </c>
      <c r="C438" s="3">
        <v>0.205</v>
      </c>
      <c r="E438" t="s">
        <v>126</v>
      </c>
      <c r="F438" s="89" t="s">
        <v>323</v>
      </c>
      <c r="G438" s="3">
        <f t="shared" si="103"/>
        <v>-0.6882461389442458</v>
      </c>
      <c r="L438">
        <f>L437+1</f>
        <v>16</v>
      </c>
      <c r="M438">
        <v>40</v>
      </c>
      <c r="N438" s="3">
        <f t="shared" si="104"/>
        <v>0.22941316432780512</v>
      </c>
      <c r="P438" t="s">
        <v>126</v>
      </c>
      <c r="Q438" s="89" t="s">
        <v>323</v>
      </c>
      <c r="R438" s="3">
        <f t="shared" si="105"/>
        <v>-0.6393816647656718</v>
      </c>
    </row>
    <row r="439" spans="1:18" ht="12.75">
      <c r="A439">
        <v>20</v>
      </c>
      <c r="B439">
        <v>28</v>
      </c>
      <c r="C439" s="3">
        <v>0.155</v>
      </c>
      <c r="E439" s="3">
        <f>EXP(SQRT(LN(POWER(E437,2)/POWER(E435,2)+1)))</f>
        <v>1.3518261872048571</v>
      </c>
      <c r="F439" s="90">
        <f>F441/E441</f>
        <v>1.0312498344897343</v>
      </c>
      <c r="G439" s="3">
        <f t="shared" si="103"/>
        <v>-0.8096683018297085</v>
      </c>
      <c r="L439">
        <v>20</v>
      </c>
      <c r="M439">
        <v>28</v>
      </c>
      <c r="N439" s="3">
        <f t="shared" si="104"/>
        <v>0.16841865162496322</v>
      </c>
      <c r="P439" s="3">
        <f>EXP(SQRT(LN(POWER(P437,2)/POWER(P435,2)+1)))</f>
        <v>1.4045761113879751</v>
      </c>
      <c r="Q439" s="90">
        <f>Q441/P441</f>
        <v>1.0338770968901583</v>
      </c>
      <c r="R439" s="3">
        <f t="shared" si="105"/>
        <v>-0.7736098139691049</v>
      </c>
    </row>
    <row r="440" spans="1:18" ht="12.75">
      <c r="A440">
        <f>A439+1</f>
        <v>21</v>
      </c>
      <c r="B440">
        <v>35</v>
      </c>
      <c r="C440" s="3">
        <v>0.135</v>
      </c>
      <c r="E440" t="s">
        <v>384</v>
      </c>
      <c r="F440" t="s">
        <v>384</v>
      </c>
      <c r="G440" s="3">
        <f t="shared" si="103"/>
        <v>-0.8696662315049939</v>
      </c>
      <c r="L440">
        <f>L439+1</f>
        <v>21</v>
      </c>
      <c r="M440">
        <v>35</v>
      </c>
      <c r="N440" s="3">
        <f t="shared" si="104"/>
        <v>0.14502577205025774</v>
      </c>
      <c r="P440" t="s">
        <v>384</v>
      </c>
      <c r="Q440" t="s">
        <v>384</v>
      </c>
      <c r="R440" s="3">
        <f t="shared" si="105"/>
        <v>-0.8385548138708863</v>
      </c>
    </row>
    <row r="441" spans="1:18" ht="12.75">
      <c r="A441">
        <v>24</v>
      </c>
      <c r="B441">
        <v>35</v>
      </c>
      <c r="C441" s="3">
        <v>0.315</v>
      </c>
      <c r="E441" s="40">
        <f>LOG10(E439)</f>
        <v>0.13092085522214253</v>
      </c>
      <c r="F441" s="6">
        <f>STDEV(G435:G442)</f>
        <v>0.13501211027908894</v>
      </c>
      <c r="G441" s="3">
        <f t="shared" si="103"/>
        <v>-0.5016894462103995</v>
      </c>
      <c r="L441">
        <v>24</v>
      </c>
      <c r="M441">
        <v>35</v>
      </c>
      <c r="N441" s="3">
        <f t="shared" si="104"/>
        <v>0.3783364407199117</v>
      </c>
      <c r="P441" s="40">
        <f>LOG10(P439)</f>
        <v>0.14754527779192464</v>
      </c>
      <c r="Q441" s="94">
        <f>STDEV(R435:R442)</f>
        <v>0.152543683463367</v>
      </c>
      <c r="R441" s="3">
        <f t="shared" si="105"/>
        <v>-0.4221218261897224</v>
      </c>
    </row>
    <row r="443" spans="1:12" ht="12.75">
      <c r="A443" s="58" t="s">
        <v>421</v>
      </c>
      <c r="L443" s="58" t="s">
        <v>421</v>
      </c>
    </row>
    <row r="444" spans="1:12" ht="12.75">
      <c r="A444" s="59" t="s">
        <v>21</v>
      </c>
      <c r="L444" s="59" t="s">
        <v>21</v>
      </c>
    </row>
    <row r="445" spans="1:18" ht="12.75">
      <c r="A445" t="s">
        <v>127</v>
      </c>
      <c r="B445" t="s">
        <v>509</v>
      </c>
      <c r="C445" t="s">
        <v>414</v>
      </c>
      <c r="D445" t="s">
        <v>519</v>
      </c>
      <c r="E445" t="s">
        <v>598</v>
      </c>
      <c r="G445" t="s">
        <v>207</v>
      </c>
      <c r="L445" t="s">
        <v>127</v>
      </c>
      <c r="M445" t="s">
        <v>509</v>
      </c>
      <c r="N445" t="s">
        <v>414</v>
      </c>
      <c r="O445" t="s">
        <v>519</v>
      </c>
      <c r="P445" t="s">
        <v>598</v>
      </c>
      <c r="R445" t="s">
        <v>207</v>
      </c>
    </row>
    <row r="446" spans="1:18" ht="12.75">
      <c r="A446">
        <v>5</v>
      </c>
      <c r="B446">
        <v>26</v>
      </c>
      <c r="C446" s="3">
        <v>0.255</v>
      </c>
      <c r="D446" s="60">
        <f>COUNT(C446:C452)</f>
        <v>6</v>
      </c>
      <c r="E446" s="3">
        <f>AVERAGE(C446:C452)</f>
        <v>0.24916666666666668</v>
      </c>
      <c r="G446" s="3">
        <f>LOG10(C446)</f>
        <v>-0.5934598195660448</v>
      </c>
      <c r="L446">
        <v>5</v>
      </c>
      <c r="M446">
        <v>26</v>
      </c>
      <c r="N446" s="3">
        <f aca="true" t="shared" si="106" ref="N446:N452">-LN(1-C446)</f>
        <v>0.2943710606025775</v>
      </c>
      <c r="O446" s="60">
        <f>COUNT(N446:N452)</f>
        <v>6</v>
      </c>
      <c r="P446" s="3">
        <f>AVERAGE(N446:N452)</f>
        <v>0.29260041224461886</v>
      </c>
      <c r="R446" s="3">
        <f>LOG10(N446)</f>
        <v>-0.531104887399675</v>
      </c>
    </row>
    <row r="447" spans="1:18" ht="12.75">
      <c r="A447">
        <v>11</v>
      </c>
      <c r="B447">
        <v>27</v>
      </c>
      <c r="C447" s="3">
        <v>0.205</v>
      </c>
      <c r="E447" t="s">
        <v>431</v>
      </c>
      <c r="G447" s="3">
        <f>LOG10(C447)</f>
        <v>-0.6882461389442458</v>
      </c>
      <c r="L447">
        <v>11</v>
      </c>
      <c r="M447">
        <v>27</v>
      </c>
      <c r="N447" s="3">
        <f t="shared" si="106"/>
        <v>0.22941316432780512</v>
      </c>
      <c r="P447" t="s">
        <v>431</v>
      </c>
      <c r="R447" s="3">
        <f>LOG10(N447)</f>
        <v>-0.6393816647656718</v>
      </c>
    </row>
    <row r="448" spans="1:18" ht="12.75">
      <c r="A448">
        <v>15</v>
      </c>
      <c r="B448">
        <v>40</v>
      </c>
      <c r="C448" s="3">
        <v>0.35</v>
      </c>
      <c r="E448" s="3">
        <f>STDEV(C446:C452)</f>
        <v>0.08896160220379722</v>
      </c>
      <c r="G448" s="3">
        <f>LOG10(C448)</f>
        <v>-0.45593195564972444</v>
      </c>
      <c r="L448">
        <v>15</v>
      </c>
      <c r="M448">
        <v>40</v>
      </c>
      <c r="N448" s="3">
        <f t="shared" si="106"/>
        <v>0.43078291609245417</v>
      </c>
      <c r="P448" s="3">
        <f>STDEV(N446:N452)</f>
        <v>0.12118115901957356</v>
      </c>
      <c r="R448" s="3">
        <f>LOG10(N448)</f>
        <v>-0.36574152820110817</v>
      </c>
    </row>
    <row r="449" spans="1:18" ht="12.75">
      <c r="A449">
        <f>A448+1</f>
        <v>16</v>
      </c>
      <c r="B449">
        <v>40</v>
      </c>
      <c r="C449" s="3"/>
      <c r="E449" t="s">
        <v>126</v>
      </c>
      <c r="F449" s="89" t="s">
        <v>323</v>
      </c>
      <c r="G449" s="3"/>
      <c r="L449">
        <f>L448+1</f>
        <v>16</v>
      </c>
      <c r="M449">
        <v>40</v>
      </c>
      <c r="N449" s="3"/>
      <c r="P449" t="s">
        <v>126</v>
      </c>
      <c r="Q449" s="89" t="s">
        <v>323</v>
      </c>
      <c r="R449" s="3"/>
    </row>
    <row r="450" spans="1:18" ht="12.75">
      <c r="A450">
        <v>20</v>
      </c>
      <c r="B450">
        <v>28</v>
      </c>
      <c r="C450" s="3">
        <v>0.155</v>
      </c>
      <c r="E450" s="3">
        <f>EXP(SQRT(LN(POWER(E448,2)/POWER(E446,2)+1)))</f>
        <v>1.413943054980256</v>
      </c>
      <c r="F450" s="90">
        <f>F452/E452</f>
        <v>1.0359407926501973</v>
      </c>
      <c r="G450" s="3">
        <f>LOG10(C450)</f>
        <v>-0.8096683018297085</v>
      </c>
      <c r="L450">
        <v>20</v>
      </c>
      <c r="M450">
        <v>28</v>
      </c>
      <c r="N450" s="3">
        <f t="shared" si="106"/>
        <v>0.16841865162496322</v>
      </c>
      <c r="P450" s="3">
        <f>EXP(SQRT(LN(POWER(P448,2)/POWER(P446,2)+1)))</f>
        <v>1.4886568370999576</v>
      </c>
      <c r="Q450" s="90">
        <f>Q452/P452</f>
        <v>1.0452135550089698</v>
      </c>
      <c r="R450" s="3">
        <f>LOG10(N450)</f>
        <v>-0.7736098139691049</v>
      </c>
    </row>
    <row r="451" spans="1:18" ht="12.75">
      <c r="A451">
        <f>A450+1</f>
        <v>21</v>
      </c>
      <c r="B451">
        <v>35</v>
      </c>
      <c r="C451" s="3">
        <v>0.17</v>
      </c>
      <c r="E451" t="s">
        <v>384</v>
      </c>
      <c r="F451" t="s">
        <v>384</v>
      </c>
      <c r="G451" s="3">
        <f>LOG10(C451)</f>
        <v>-0.769551078621726</v>
      </c>
      <c r="L451">
        <f>L450+1</f>
        <v>21</v>
      </c>
      <c r="M451">
        <v>35</v>
      </c>
      <c r="N451" s="3">
        <f t="shared" si="106"/>
        <v>0.18632957819149348</v>
      </c>
      <c r="P451" t="s">
        <v>384</v>
      </c>
      <c r="Q451" t="s">
        <v>384</v>
      </c>
      <c r="R451" s="3">
        <f>LOG10(N451)</f>
        <v>-0.7297181991792839</v>
      </c>
    </row>
    <row r="452" spans="1:18" ht="12.75">
      <c r="A452">
        <v>24</v>
      </c>
      <c r="B452">
        <v>35</v>
      </c>
      <c r="C452" s="3">
        <v>0.36</v>
      </c>
      <c r="E452" s="40">
        <f>LOG10(E450)</f>
        <v>0.15043191907485146</v>
      </c>
      <c r="F452" s="6">
        <f>STDEV(G446:G453)</f>
        <v>0.15583856148629197</v>
      </c>
      <c r="G452" s="3">
        <f>LOG10(C452)</f>
        <v>-0.44369749923271273</v>
      </c>
      <c r="L452">
        <v>24</v>
      </c>
      <c r="M452">
        <v>35</v>
      </c>
      <c r="N452" s="3">
        <f t="shared" si="106"/>
        <v>0.44628710262841953</v>
      </c>
      <c r="P452" s="40">
        <f>LOG10(P450)</f>
        <v>0.17279459638879183</v>
      </c>
      <c r="Q452" s="94">
        <f>STDEV(R446:R453)</f>
        <v>0.1806072543778692</v>
      </c>
      <c r="R452" s="3">
        <f>LOG10(N452)</f>
        <v>-0.350385663771713</v>
      </c>
    </row>
    <row r="454" spans="1:12" ht="15.75">
      <c r="A454" s="61" t="s">
        <v>155</v>
      </c>
      <c r="L454" s="61" t="s">
        <v>155</v>
      </c>
    </row>
    <row r="456" spans="1:12" ht="12.75">
      <c r="A456" s="58" t="s">
        <v>421</v>
      </c>
      <c r="L456" s="58" t="s">
        <v>421</v>
      </c>
    </row>
    <row r="457" spans="1:12" ht="12.75">
      <c r="A457" s="59" t="s">
        <v>230</v>
      </c>
      <c r="L457" s="59" t="s">
        <v>230</v>
      </c>
    </row>
    <row r="458" spans="1:18" ht="12.75">
      <c r="A458" t="s">
        <v>127</v>
      </c>
      <c r="B458" t="s">
        <v>509</v>
      </c>
      <c r="C458" t="s">
        <v>414</v>
      </c>
      <c r="D458" t="s">
        <v>519</v>
      </c>
      <c r="E458" t="s">
        <v>598</v>
      </c>
      <c r="G458" t="s">
        <v>207</v>
      </c>
      <c r="L458" t="s">
        <v>127</v>
      </c>
      <c r="M458" t="s">
        <v>509</v>
      </c>
      <c r="N458" t="s">
        <v>414</v>
      </c>
      <c r="O458" t="s">
        <v>519</v>
      </c>
      <c r="P458" t="s">
        <v>598</v>
      </c>
      <c r="R458" t="s">
        <v>207</v>
      </c>
    </row>
    <row r="459" spans="1:18" ht="12.75">
      <c r="A459">
        <v>5</v>
      </c>
      <c r="B459">
        <v>26</v>
      </c>
      <c r="C459" s="3">
        <v>0.28</v>
      </c>
      <c r="D459" s="60">
        <f>COUNT(C459:C465)</f>
        <v>6</v>
      </c>
      <c r="E459" s="3">
        <f>AVERAGE(C459:C465)</f>
        <v>0.26249999999999996</v>
      </c>
      <c r="G459" s="3">
        <f>LOG10(C459)</f>
        <v>-0.5528419686577807</v>
      </c>
      <c r="L459">
        <v>5</v>
      </c>
      <c r="M459">
        <v>26</v>
      </c>
      <c r="N459" s="3">
        <f aca="true" t="shared" si="107" ref="N459:N465">-LN(1-C459)</f>
        <v>0.32850406697203605</v>
      </c>
      <c r="O459" s="60">
        <f>COUNT(N459:N465)</f>
        <v>6</v>
      </c>
      <c r="P459" s="3">
        <f>AVERAGE(N459:N465)</f>
        <v>0.3072739560728713</v>
      </c>
      <c r="R459" s="3">
        <f>LOG10(N459)</f>
        <v>-0.4834592493840182</v>
      </c>
    </row>
    <row r="460" spans="1:18" ht="12.75">
      <c r="A460">
        <v>11</v>
      </c>
      <c r="B460">
        <v>27</v>
      </c>
      <c r="C460" s="3">
        <v>0.21</v>
      </c>
      <c r="E460" t="s">
        <v>431</v>
      </c>
      <c r="G460" s="3">
        <f>LOG10(C460)</f>
        <v>-0.6777807052660807</v>
      </c>
      <c r="L460">
        <v>11</v>
      </c>
      <c r="M460">
        <v>27</v>
      </c>
      <c r="N460" s="3">
        <f t="shared" si="107"/>
        <v>0.23572233352106983</v>
      </c>
      <c r="P460" t="s">
        <v>431</v>
      </c>
      <c r="R460" s="3">
        <f>LOG10(N460)</f>
        <v>-0.6275992682798079</v>
      </c>
    </row>
    <row r="461" spans="1:18" ht="12.75">
      <c r="A461">
        <v>15</v>
      </c>
      <c r="B461">
        <v>40</v>
      </c>
      <c r="C461" s="3"/>
      <c r="E461" s="3">
        <f>STDEV(C459:C465)</f>
        <v>0.06014565653478254</v>
      </c>
      <c r="G461" s="3"/>
      <c r="L461">
        <v>15</v>
      </c>
      <c r="M461">
        <v>40</v>
      </c>
      <c r="N461" s="3"/>
      <c r="P461" s="3">
        <f>STDEV(N459:N465)</f>
        <v>0.08187519971449726</v>
      </c>
      <c r="R461" s="3"/>
    </row>
    <row r="462" spans="1:18" ht="12.75">
      <c r="A462">
        <f>A461+1</f>
        <v>16</v>
      </c>
      <c r="B462">
        <v>40</v>
      </c>
      <c r="C462" s="3">
        <v>0.27</v>
      </c>
      <c r="E462" t="s">
        <v>126</v>
      </c>
      <c r="F462" s="89" t="s">
        <v>323</v>
      </c>
      <c r="G462" s="3">
        <f>LOG10(C462)</f>
        <v>-0.5686362358410126</v>
      </c>
      <c r="L462">
        <f>L461+1</f>
        <v>16</v>
      </c>
      <c r="M462">
        <v>40</v>
      </c>
      <c r="N462" s="3">
        <f t="shared" si="107"/>
        <v>0.31471074483970024</v>
      </c>
      <c r="P462" t="s">
        <v>126</v>
      </c>
      <c r="Q462" s="89" t="s">
        <v>323</v>
      </c>
      <c r="R462" s="3">
        <f>LOG10(N462)</f>
        <v>-0.5020884291715288</v>
      </c>
    </row>
    <row r="463" spans="1:18" ht="12.75">
      <c r="A463">
        <v>20</v>
      </c>
      <c r="B463">
        <v>28</v>
      </c>
      <c r="C463" s="3">
        <v>0.285</v>
      </c>
      <c r="E463" s="3">
        <f>EXP(SQRT(LN(POWER(E461,2)/POWER(E459,2)+1)))</f>
        <v>1.2538285377083054</v>
      </c>
      <c r="F463" s="90">
        <f>F465/E465</f>
        <v>1.0526071673648107</v>
      </c>
      <c r="G463" s="3">
        <f>LOG10(C463)</f>
        <v>-0.5451551399914898</v>
      </c>
      <c r="L463">
        <v>20</v>
      </c>
      <c r="M463">
        <v>28</v>
      </c>
      <c r="N463" s="3">
        <f t="shared" si="107"/>
        <v>0.3354727362881293</v>
      </c>
      <c r="P463" s="3">
        <f>EXP(SQRT(LN(POWER(P461,2)/POWER(P459,2)+1)))</f>
        <v>1.2993975929974324</v>
      </c>
      <c r="Q463" s="90">
        <f>Q465/P465</f>
        <v>1.0561413952723866</v>
      </c>
      <c r="R463" s="3">
        <f>LOG10(N463)</f>
        <v>-0.4743427689696351</v>
      </c>
    </row>
    <row r="464" spans="1:18" ht="12.75">
      <c r="A464">
        <f>A463+1</f>
        <v>21</v>
      </c>
      <c r="B464">
        <v>35</v>
      </c>
      <c r="C464" s="3">
        <v>0.18</v>
      </c>
      <c r="E464" t="s">
        <v>384</v>
      </c>
      <c r="F464" t="s">
        <v>384</v>
      </c>
      <c r="G464" s="3">
        <f>LOG10(C464)</f>
        <v>-0.7447274948966939</v>
      </c>
      <c r="L464">
        <f>L463+1</f>
        <v>21</v>
      </c>
      <c r="M464">
        <v>35</v>
      </c>
      <c r="N464" s="3">
        <f t="shared" si="107"/>
        <v>0.19845093872383818</v>
      </c>
      <c r="P464" t="s">
        <v>384</v>
      </c>
      <c r="Q464" t="s">
        <v>384</v>
      </c>
      <c r="R464" s="3">
        <f>LOG10(N464)</f>
        <v>-0.7023468424276733</v>
      </c>
    </row>
    <row r="465" spans="1:18" ht="12.75">
      <c r="A465">
        <v>24</v>
      </c>
      <c r="B465">
        <v>35</v>
      </c>
      <c r="C465" s="3">
        <v>0.35</v>
      </c>
      <c r="E465" s="40">
        <f>LOG10(E463)</f>
        <v>0.09823815035554673</v>
      </c>
      <c r="F465" s="6">
        <f>STDEV(G459:G466)</f>
        <v>0.10340618117291042</v>
      </c>
      <c r="G465" s="3">
        <f>LOG10(C465)</f>
        <v>-0.45593195564972444</v>
      </c>
      <c r="L465">
        <v>24</v>
      </c>
      <c r="M465">
        <v>35</v>
      </c>
      <c r="N465" s="3">
        <f t="shared" si="107"/>
        <v>0.43078291609245417</v>
      </c>
      <c r="P465" s="40">
        <f>LOG10(P463)</f>
        <v>0.1137420579435093</v>
      </c>
      <c r="Q465" s="94">
        <f>STDEV(R459:R466)</f>
        <v>0.12012769577761057</v>
      </c>
      <c r="R465" s="3">
        <f>LOG10(N465)</f>
        <v>-0.36574152820110817</v>
      </c>
    </row>
    <row r="466" spans="2:15" ht="12.75">
      <c r="B466" s="3"/>
      <c r="D466" s="3"/>
      <c r="M466" s="3"/>
      <c r="O466" s="3"/>
    </row>
    <row r="467" spans="1:12" ht="12.75">
      <c r="A467" s="58" t="s">
        <v>421</v>
      </c>
      <c r="L467" s="58" t="s">
        <v>421</v>
      </c>
    </row>
    <row r="468" spans="1:12" ht="12.75">
      <c r="A468" s="59" t="s">
        <v>471</v>
      </c>
      <c r="L468" s="59" t="s">
        <v>471</v>
      </c>
    </row>
    <row r="469" spans="1:18" ht="12.75">
      <c r="A469" t="s">
        <v>127</v>
      </c>
      <c r="B469" t="s">
        <v>509</v>
      </c>
      <c r="C469" t="s">
        <v>414</v>
      </c>
      <c r="D469" t="s">
        <v>519</v>
      </c>
      <c r="E469" t="s">
        <v>598</v>
      </c>
      <c r="G469" t="s">
        <v>207</v>
      </c>
      <c r="L469" t="s">
        <v>127</v>
      </c>
      <c r="M469" t="s">
        <v>509</v>
      </c>
      <c r="N469" t="s">
        <v>414</v>
      </c>
      <c r="O469" t="s">
        <v>519</v>
      </c>
      <c r="P469" t="s">
        <v>598</v>
      </c>
      <c r="R469" t="s">
        <v>207</v>
      </c>
    </row>
    <row r="470" spans="1:18" ht="12.75">
      <c r="A470">
        <v>5</v>
      </c>
      <c r="B470">
        <v>26</v>
      </c>
      <c r="C470" s="3">
        <v>0.28</v>
      </c>
      <c r="D470" s="60">
        <f>COUNT(C470:C476)</f>
        <v>7</v>
      </c>
      <c r="E470" s="3">
        <f>AVERAGE(C470:C476)</f>
        <v>0.27</v>
      </c>
      <c r="G470" s="3">
        <f aca="true" t="shared" si="108" ref="G470:G476">LOG10(C470)</f>
        <v>-0.5528419686577807</v>
      </c>
      <c r="L470">
        <v>5</v>
      </c>
      <c r="M470">
        <v>26</v>
      </c>
      <c r="N470" s="3">
        <f aca="true" t="shared" si="109" ref="N470:N476">-LN(1-C470)</f>
        <v>0.32850406697203605</v>
      </c>
      <c r="O470" s="60">
        <f>COUNT(N470:N476)</f>
        <v>7</v>
      </c>
      <c r="P470" s="3">
        <f>AVERAGE(N470:N476)</f>
        <v>0.31651505655620266</v>
      </c>
      <c r="R470" s="3">
        <f aca="true" t="shared" si="110" ref="R470:R476">LOG10(N470)</f>
        <v>-0.4834592493840182</v>
      </c>
    </row>
    <row r="471" spans="1:18" ht="12.75">
      <c r="A471">
        <v>11</v>
      </c>
      <c r="B471">
        <v>27</v>
      </c>
      <c r="C471" s="3">
        <v>0.23</v>
      </c>
      <c r="E471" t="s">
        <v>431</v>
      </c>
      <c r="G471" s="3">
        <f t="shared" si="108"/>
        <v>-0.6382721639824072</v>
      </c>
      <c r="L471">
        <v>11</v>
      </c>
      <c r="M471">
        <v>27</v>
      </c>
      <c r="N471" s="3">
        <f t="shared" si="109"/>
        <v>0.2613647641344075</v>
      </c>
      <c r="P471" t="s">
        <v>431</v>
      </c>
      <c r="R471" s="3">
        <f t="shared" si="110"/>
        <v>-0.5827529621780622</v>
      </c>
    </row>
    <row r="472" spans="1:18" ht="12.75">
      <c r="A472">
        <v>15</v>
      </c>
      <c r="B472">
        <v>40</v>
      </c>
      <c r="C472" s="3">
        <v>0.32</v>
      </c>
      <c r="E472" s="3">
        <f>STDEV(C470:C476)</f>
        <v>0.04716990566028278</v>
      </c>
      <c r="G472" s="3">
        <f t="shared" si="108"/>
        <v>-0.494850021680094</v>
      </c>
      <c r="L472">
        <v>15</v>
      </c>
      <c r="M472">
        <v>40</v>
      </c>
      <c r="N472" s="3">
        <f t="shared" si="109"/>
        <v>0.3856624808119848</v>
      </c>
      <c r="P472" s="3">
        <f>STDEV(N470:N476)</f>
        <v>0.06502174639371781</v>
      </c>
      <c r="R472" s="3">
        <f t="shared" si="110"/>
        <v>-0.41379260943288027</v>
      </c>
    </row>
    <row r="473" spans="1:18" ht="12.75">
      <c r="A473">
        <f>A472+1</f>
        <v>16</v>
      </c>
      <c r="B473">
        <v>40</v>
      </c>
      <c r="C473" s="3">
        <v>0.28</v>
      </c>
      <c r="E473" t="s">
        <v>126</v>
      </c>
      <c r="F473" s="89" t="s">
        <v>323</v>
      </c>
      <c r="G473" s="3">
        <f t="shared" si="108"/>
        <v>-0.5528419686577807</v>
      </c>
      <c r="L473">
        <f>L472+1</f>
        <v>16</v>
      </c>
      <c r="M473">
        <v>40</v>
      </c>
      <c r="N473" s="3">
        <f t="shared" si="109"/>
        <v>0.32850406697203605</v>
      </c>
      <c r="P473" t="s">
        <v>126</v>
      </c>
      <c r="Q473" s="89" t="s">
        <v>323</v>
      </c>
      <c r="R473" s="3">
        <f t="shared" si="110"/>
        <v>-0.4834592493840182</v>
      </c>
    </row>
    <row r="474" spans="1:18" ht="12.75">
      <c r="A474">
        <v>20</v>
      </c>
      <c r="B474">
        <v>28</v>
      </c>
      <c r="C474" s="3">
        <v>0.235</v>
      </c>
      <c r="E474" s="3">
        <f>EXP(SQRT(LN(POWER(E472,2)/POWER(E470,2)+1)))</f>
        <v>1.1893321228109428</v>
      </c>
      <c r="F474" s="90">
        <f>F476/E476</f>
        <v>1.0126254297837471</v>
      </c>
      <c r="G474" s="3">
        <f t="shared" si="108"/>
        <v>-0.6289321377282637</v>
      </c>
      <c r="L474">
        <v>20</v>
      </c>
      <c r="M474">
        <v>28</v>
      </c>
      <c r="N474" s="3">
        <f t="shared" si="109"/>
        <v>0.2678794451556012</v>
      </c>
      <c r="P474" s="3">
        <f>EXP(SQRT(LN(POWER(P472,2)/POWER(P470,2)+1)))</f>
        <v>1.2254535195828533</v>
      </c>
      <c r="Q474" s="90">
        <f>Q476/P476</f>
        <v>1.0145142046819629</v>
      </c>
      <c r="R474" s="3">
        <f t="shared" si="110"/>
        <v>-0.5720606092659098</v>
      </c>
    </row>
    <row r="475" spans="1:18" ht="12.75">
      <c r="A475">
        <f>A474+1</f>
        <v>21</v>
      </c>
      <c r="B475">
        <v>35</v>
      </c>
      <c r="C475" s="3">
        <v>0.21</v>
      </c>
      <c r="E475" t="s">
        <v>384</v>
      </c>
      <c r="F475" t="s">
        <v>384</v>
      </c>
      <c r="G475" s="3">
        <f t="shared" si="108"/>
        <v>-0.6777807052660807</v>
      </c>
      <c r="L475">
        <f>L474+1</f>
        <v>21</v>
      </c>
      <c r="M475">
        <v>35</v>
      </c>
      <c r="N475" s="3">
        <f t="shared" si="109"/>
        <v>0.23572233352106983</v>
      </c>
      <c r="P475" t="s">
        <v>384</v>
      </c>
      <c r="Q475" t="s">
        <v>384</v>
      </c>
      <c r="R475" s="3">
        <f t="shared" si="110"/>
        <v>-0.6275992682798079</v>
      </c>
    </row>
    <row r="476" spans="1:18" ht="12.75">
      <c r="A476">
        <v>24</v>
      </c>
      <c r="B476">
        <v>35</v>
      </c>
      <c r="C476" s="3">
        <v>0.335</v>
      </c>
      <c r="E476" s="40">
        <f>LOG10(E474)</f>
        <v>0.07530314895236419</v>
      </c>
      <c r="F476" s="6">
        <f>STDEV(G470:G477)</f>
        <v>0.07625388357195731</v>
      </c>
      <c r="G476" s="3">
        <f t="shared" si="108"/>
        <v>-0.47495519296315475</v>
      </c>
      <c r="L476">
        <v>24</v>
      </c>
      <c r="M476">
        <v>35</v>
      </c>
      <c r="N476" s="3">
        <f t="shared" si="109"/>
        <v>0.4079682383262828</v>
      </c>
      <c r="P476" s="40">
        <f>LOG10(P474)</f>
        <v>0.08829684347752874</v>
      </c>
      <c r="Q476" s="94">
        <f>STDEV(R470:R477)</f>
        <v>0.08957840193653283</v>
      </c>
      <c r="R476" s="3">
        <f t="shared" si="110"/>
        <v>-0.38937364685268994</v>
      </c>
    </row>
    <row r="478" spans="1:12" ht="12.75">
      <c r="A478" s="58" t="s">
        <v>421</v>
      </c>
      <c r="L478" s="58" t="s">
        <v>421</v>
      </c>
    </row>
    <row r="479" spans="1:12" ht="12.75">
      <c r="A479" s="59" t="s">
        <v>472</v>
      </c>
      <c r="L479" s="59" t="s">
        <v>472</v>
      </c>
    </row>
    <row r="480" spans="1:18" ht="12.75">
      <c r="A480" t="s">
        <v>127</v>
      </c>
      <c r="B480" t="s">
        <v>509</v>
      </c>
      <c r="C480" t="s">
        <v>414</v>
      </c>
      <c r="D480" t="s">
        <v>519</v>
      </c>
      <c r="E480" t="s">
        <v>598</v>
      </c>
      <c r="G480" t="s">
        <v>207</v>
      </c>
      <c r="L480" t="s">
        <v>127</v>
      </c>
      <c r="M480" t="s">
        <v>509</v>
      </c>
      <c r="N480" t="s">
        <v>414</v>
      </c>
      <c r="O480" t="s">
        <v>519</v>
      </c>
      <c r="P480" t="s">
        <v>598</v>
      </c>
      <c r="R480" t="s">
        <v>207</v>
      </c>
    </row>
    <row r="481" spans="1:18" ht="12.75">
      <c r="A481">
        <v>5</v>
      </c>
      <c r="B481">
        <v>26</v>
      </c>
      <c r="C481" s="3">
        <v>0.28</v>
      </c>
      <c r="D481" s="60">
        <f>COUNT(C481:C487)</f>
        <v>7</v>
      </c>
      <c r="E481" s="3">
        <f>AVERAGE(C481:C487)</f>
        <v>0.2857142857142857</v>
      </c>
      <c r="G481" s="3">
        <f aca="true" t="shared" si="111" ref="G481:G487">LOG10(C481)</f>
        <v>-0.5528419686577807</v>
      </c>
      <c r="L481">
        <v>5</v>
      </c>
      <c r="M481">
        <v>26</v>
      </c>
      <c r="N481" s="3">
        <f aca="true" t="shared" si="112" ref="N481:N487">-LN(1-C481)</f>
        <v>0.32850406697203605</v>
      </c>
      <c r="O481" s="60">
        <f>COUNT(N481:N487)</f>
        <v>7</v>
      </c>
      <c r="P481" s="3">
        <f>AVERAGE(N481:N487)</f>
        <v>0.33890021588139746</v>
      </c>
      <c r="R481" s="3">
        <f aca="true" t="shared" si="113" ref="R481:R487">LOG10(N481)</f>
        <v>-0.4834592493840182</v>
      </c>
    </row>
    <row r="482" spans="1:18" ht="12.75">
      <c r="A482">
        <v>11</v>
      </c>
      <c r="B482">
        <v>27</v>
      </c>
      <c r="C482" s="3">
        <v>0.23</v>
      </c>
      <c r="E482" t="s">
        <v>431</v>
      </c>
      <c r="G482" s="3">
        <f t="shared" si="111"/>
        <v>-0.6382721639824072</v>
      </c>
      <c r="L482">
        <v>11</v>
      </c>
      <c r="M482">
        <v>27</v>
      </c>
      <c r="N482" s="3">
        <f t="shared" si="112"/>
        <v>0.2613647641344075</v>
      </c>
      <c r="P482" t="s">
        <v>431</v>
      </c>
      <c r="R482" s="3">
        <f t="shared" si="113"/>
        <v>-0.5827529621780622</v>
      </c>
    </row>
    <row r="483" spans="1:18" ht="12.75">
      <c r="A483">
        <v>15</v>
      </c>
      <c r="B483">
        <v>40</v>
      </c>
      <c r="C483" s="3">
        <v>0.34</v>
      </c>
      <c r="E483" s="3">
        <f>STDEV(C481:C487)</f>
        <v>0.05349677337844563</v>
      </c>
      <c r="G483" s="3">
        <f t="shared" si="111"/>
        <v>-0.46852108295774486</v>
      </c>
      <c r="L483">
        <v>15</v>
      </c>
      <c r="M483">
        <v>40</v>
      </c>
      <c r="N483" s="3">
        <f t="shared" si="112"/>
        <v>0.4155154439616659</v>
      </c>
      <c r="P483" s="3">
        <f>STDEV(N481:N487)</f>
        <v>0.07545838746434651</v>
      </c>
      <c r="R483" s="3">
        <f t="shared" si="113"/>
        <v>-0.38141282963515083</v>
      </c>
    </row>
    <row r="484" spans="1:18" ht="12.75">
      <c r="A484">
        <f>A483+1</f>
        <v>16</v>
      </c>
      <c r="B484">
        <v>40</v>
      </c>
      <c r="C484" s="3">
        <v>0.31</v>
      </c>
      <c r="E484" t="s">
        <v>126</v>
      </c>
      <c r="F484" s="89" t="s">
        <v>323</v>
      </c>
      <c r="G484" s="3">
        <f t="shared" si="111"/>
        <v>-0.5086383061657272</v>
      </c>
      <c r="L484">
        <f>L483+1</f>
        <v>16</v>
      </c>
      <c r="M484">
        <v>40</v>
      </c>
      <c r="N484" s="3">
        <f t="shared" si="112"/>
        <v>0.371063681390832</v>
      </c>
      <c r="P484" t="s">
        <v>126</v>
      </c>
      <c r="Q484" s="89" t="s">
        <v>323</v>
      </c>
      <c r="R484" s="3">
        <f t="shared" si="113"/>
        <v>-0.4305515510229028</v>
      </c>
    </row>
    <row r="485" spans="1:18" ht="12.75">
      <c r="A485">
        <v>20</v>
      </c>
      <c r="B485">
        <v>28</v>
      </c>
      <c r="C485" s="3">
        <v>0.26</v>
      </c>
      <c r="E485" s="3">
        <f>EXP(SQRT(LN(POWER(E483,2)/POWER(E481,2)+1)))</f>
        <v>1.2039744006262736</v>
      </c>
      <c r="F485" s="90">
        <f>F487/E487</f>
        <v>1.0159238500088763</v>
      </c>
      <c r="G485" s="3">
        <f t="shared" si="111"/>
        <v>-0.585026652029182</v>
      </c>
      <c r="L485">
        <v>20</v>
      </c>
      <c r="M485">
        <v>28</v>
      </c>
      <c r="N485" s="3">
        <f t="shared" si="112"/>
        <v>0.30110509278392167</v>
      </c>
      <c r="P485" s="3">
        <f>EXP(SQRT(LN(POWER(P483,2)/POWER(P481,2)+1)))</f>
        <v>1.2460378127165515</v>
      </c>
      <c r="Q485" s="90">
        <f>Q487/P487</f>
        <v>1.0184364008464732</v>
      </c>
      <c r="R485" s="3">
        <f t="shared" si="113"/>
        <v>-0.5212818989234742</v>
      </c>
    </row>
    <row r="486" spans="1:18" ht="12.75">
      <c r="A486">
        <f>A485+1</f>
        <v>21</v>
      </c>
      <c r="B486">
        <v>35</v>
      </c>
      <c r="C486" s="3">
        <v>0.22</v>
      </c>
      <c r="E486" t="s">
        <v>384</v>
      </c>
      <c r="F486" t="s">
        <v>384</v>
      </c>
      <c r="G486" s="3">
        <f t="shared" si="111"/>
        <v>-0.6575773191777937</v>
      </c>
      <c r="L486">
        <f>L485+1</f>
        <v>21</v>
      </c>
      <c r="M486">
        <v>35</v>
      </c>
      <c r="N486" s="3">
        <f t="shared" si="112"/>
        <v>0.24846135929849958</v>
      </c>
      <c r="P486" t="s">
        <v>384</v>
      </c>
      <c r="Q486" t="s">
        <v>384</v>
      </c>
      <c r="R486" s="3">
        <f t="shared" si="113"/>
        <v>-0.6047411431410941</v>
      </c>
    </row>
    <row r="487" spans="1:18" ht="12.75">
      <c r="A487">
        <v>24</v>
      </c>
      <c r="B487">
        <v>35</v>
      </c>
      <c r="C487" s="3">
        <v>0.36</v>
      </c>
      <c r="E487" s="40">
        <f>LOG10(E485)</f>
        <v>0.08061725288115558</v>
      </c>
      <c r="F487" s="94">
        <f>STDEV(G481:G488)</f>
        <v>0.08190098992416275</v>
      </c>
      <c r="G487" s="3">
        <f t="shared" si="111"/>
        <v>-0.44369749923271273</v>
      </c>
      <c r="L487">
        <v>24</v>
      </c>
      <c r="M487">
        <v>35</v>
      </c>
      <c r="N487" s="3">
        <f t="shared" si="112"/>
        <v>0.44628710262841953</v>
      </c>
      <c r="P487" s="40">
        <f>LOG10(P485)</f>
        <v>0.095531221781393</v>
      </c>
      <c r="Q487" s="94">
        <f>STDEV(R481:R488)</f>
        <v>0.0972924736795081</v>
      </c>
      <c r="R487" s="3">
        <f t="shared" si="113"/>
        <v>-0.350385663771713</v>
      </c>
    </row>
    <row r="489" spans="1:12" ht="12.75">
      <c r="A489" s="58" t="s">
        <v>421</v>
      </c>
      <c r="L489" s="58" t="s">
        <v>421</v>
      </c>
    </row>
    <row r="490" spans="1:12" ht="12.75">
      <c r="A490" s="59" t="s">
        <v>146</v>
      </c>
      <c r="L490" s="59" t="s">
        <v>146</v>
      </c>
    </row>
    <row r="491" spans="1:18" ht="12.75">
      <c r="A491" t="s">
        <v>127</v>
      </c>
      <c r="B491" t="s">
        <v>509</v>
      </c>
      <c r="C491" t="s">
        <v>414</v>
      </c>
      <c r="D491" t="s">
        <v>519</v>
      </c>
      <c r="E491" t="s">
        <v>598</v>
      </c>
      <c r="G491" t="s">
        <v>207</v>
      </c>
      <c r="L491" t="s">
        <v>127</v>
      </c>
      <c r="M491" t="s">
        <v>509</v>
      </c>
      <c r="N491" t="s">
        <v>414</v>
      </c>
      <c r="O491" t="s">
        <v>519</v>
      </c>
      <c r="P491" t="s">
        <v>598</v>
      </c>
      <c r="R491" t="s">
        <v>207</v>
      </c>
    </row>
    <row r="492" spans="1:18" ht="12.75">
      <c r="A492">
        <v>5</v>
      </c>
      <c r="B492">
        <v>26</v>
      </c>
      <c r="C492" s="3">
        <v>0.24</v>
      </c>
      <c r="D492" s="60">
        <f>COUNT(C492:C498)</f>
        <v>7</v>
      </c>
      <c r="E492" s="3">
        <f>AVERAGE(C492:C498)</f>
        <v>0.21928571428571428</v>
      </c>
      <c r="G492" s="3">
        <f aca="true" t="shared" si="114" ref="G492:G498">LOG10(C492)</f>
        <v>-0.619788758288394</v>
      </c>
      <c r="L492">
        <v>5</v>
      </c>
      <c r="M492">
        <v>26</v>
      </c>
      <c r="N492" s="3">
        <f aca="true" t="shared" si="115" ref="N492:N498">-LN(1-C492)</f>
        <v>0.27443684570176025</v>
      </c>
      <c r="O492" s="60">
        <f>COUNT(N492:N498)</f>
        <v>7</v>
      </c>
      <c r="P492" s="3">
        <f>AVERAGE(N492:N498)</f>
        <v>0.24948748527175552</v>
      </c>
      <c r="R492" s="3">
        <f aca="true" t="shared" si="116" ref="R492:R498">LOG10(N492)</f>
        <v>-0.5615575809729126</v>
      </c>
    </row>
    <row r="493" spans="1:18" ht="12.75">
      <c r="A493">
        <v>11</v>
      </c>
      <c r="B493">
        <v>27</v>
      </c>
      <c r="C493" s="3">
        <v>0.23</v>
      </c>
      <c r="E493" t="s">
        <v>431</v>
      </c>
      <c r="G493" s="3">
        <f t="shared" si="114"/>
        <v>-0.6382721639824072</v>
      </c>
      <c r="L493">
        <v>11</v>
      </c>
      <c r="M493">
        <v>27</v>
      </c>
      <c r="N493" s="3">
        <f t="shared" si="115"/>
        <v>0.2613647641344075</v>
      </c>
      <c r="P493" t="s">
        <v>431</v>
      </c>
      <c r="R493" s="3">
        <f t="shared" si="116"/>
        <v>-0.5827529621780622</v>
      </c>
    </row>
    <row r="494" spans="1:18" ht="12.75">
      <c r="A494">
        <v>15</v>
      </c>
      <c r="B494">
        <v>40</v>
      </c>
      <c r="C494" s="3">
        <v>0.27</v>
      </c>
      <c r="E494" s="3">
        <f>STDEV(C492:C498)</f>
        <v>0.05310591393845046</v>
      </c>
      <c r="G494" s="3">
        <f t="shared" si="114"/>
        <v>-0.5686362358410126</v>
      </c>
      <c r="L494">
        <v>15</v>
      </c>
      <c r="M494">
        <v>40</v>
      </c>
      <c r="N494" s="3">
        <f t="shared" si="115"/>
        <v>0.31471074483970024</v>
      </c>
      <c r="P494" s="3">
        <f>STDEV(N492:N498)</f>
        <v>0.06696253970444487</v>
      </c>
      <c r="R494" s="3">
        <f t="shared" si="116"/>
        <v>-0.5020884291715288</v>
      </c>
    </row>
    <row r="495" spans="1:18" ht="12.75">
      <c r="A495">
        <f>A494+1</f>
        <v>16</v>
      </c>
      <c r="B495">
        <v>40</v>
      </c>
      <c r="C495" s="3">
        <v>0.2</v>
      </c>
      <c r="E495" t="s">
        <v>126</v>
      </c>
      <c r="F495" s="89" t="s">
        <v>323</v>
      </c>
      <c r="G495" s="3">
        <f t="shared" si="114"/>
        <v>-0.6989700043360187</v>
      </c>
      <c r="L495">
        <f>L494+1</f>
        <v>16</v>
      </c>
      <c r="M495">
        <v>40</v>
      </c>
      <c r="N495" s="3">
        <f t="shared" si="115"/>
        <v>0.22314355131420968</v>
      </c>
      <c r="P495" t="s">
        <v>126</v>
      </c>
      <c r="Q495" s="89" t="s">
        <v>323</v>
      </c>
      <c r="R495" s="3">
        <f t="shared" si="116"/>
        <v>-0.6514156594356943</v>
      </c>
    </row>
    <row r="496" spans="1:18" ht="12.75">
      <c r="A496">
        <v>20</v>
      </c>
      <c r="B496">
        <v>28</v>
      </c>
      <c r="C496" s="3">
        <v>0.19</v>
      </c>
      <c r="E496" s="3">
        <f>EXP(SQRT(LN(POWER(E494,2)/POWER(E492,2)+1)))</f>
        <v>1.2696413418474242</v>
      </c>
      <c r="F496" s="90">
        <f>F498/E498</f>
        <v>1.1500128750609828</v>
      </c>
      <c r="G496" s="3">
        <f t="shared" si="114"/>
        <v>-0.721246399047171</v>
      </c>
      <c r="L496">
        <v>20</v>
      </c>
      <c r="M496">
        <v>28</v>
      </c>
      <c r="N496" s="3">
        <f t="shared" si="115"/>
        <v>0.21072103131565253</v>
      </c>
      <c r="P496" s="3">
        <f>EXP(SQRT(LN(POWER(P494,2)/POWER(P492,2)+1)))</f>
        <v>1.301798182935198</v>
      </c>
      <c r="Q496" s="90">
        <f>Q498/P498</f>
        <v>1.1616201528798977</v>
      </c>
      <c r="R496" s="3">
        <f t="shared" si="116"/>
        <v>-0.6762921168431828</v>
      </c>
    </row>
    <row r="497" spans="1:18" ht="12.75">
      <c r="A497">
        <f>A496+1</f>
        <v>21</v>
      </c>
      <c r="B497">
        <v>35</v>
      </c>
      <c r="C497" s="3">
        <v>0.125</v>
      </c>
      <c r="E497" t="s">
        <v>384</v>
      </c>
      <c r="F497" t="s">
        <v>384</v>
      </c>
      <c r="G497" s="3">
        <f t="shared" si="114"/>
        <v>-0.9030899869919435</v>
      </c>
      <c r="L497">
        <f>L496+1</f>
        <v>21</v>
      </c>
      <c r="M497">
        <v>35</v>
      </c>
      <c r="N497" s="3">
        <f t="shared" si="115"/>
        <v>0.13353139262452263</v>
      </c>
      <c r="P497" t="s">
        <v>384</v>
      </c>
      <c r="Q497" t="s">
        <v>384</v>
      </c>
      <c r="R497" s="3">
        <f t="shared" si="116"/>
        <v>-0.8744166216336894</v>
      </c>
    </row>
    <row r="498" spans="1:18" ht="12.75">
      <c r="A498">
        <v>24</v>
      </c>
      <c r="B498">
        <v>35</v>
      </c>
      <c r="C498" s="3">
        <v>0.28</v>
      </c>
      <c r="E498" s="40">
        <f>LOG10(E496)</f>
        <v>0.10368105540076826</v>
      </c>
      <c r="F498" s="6">
        <f>STDEV(G492:G499)</f>
        <v>0.11923454861079455</v>
      </c>
      <c r="G498" s="3">
        <f t="shared" si="114"/>
        <v>-0.5528419686577807</v>
      </c>
      <c r="L498">
        <v>24</v>
      </c>
      <c r="M498">
        <v>35</v>
      </c>
      <c r="N498" s="3">
        <f t="shared" si="115"/>
        <v>0.32850406697203605</v>
      </c>
      <c r="P498" s="40">
        <f>LOG10(P496)</f>
        <v>0.11454366101307929</v>
      </c>
      <c r="Q498" s="94">
        <f>STDEV(R492:R499)</f>
        <v>0.13305622501743636</v>
      </c>
      <c r="R498" s="3">
        <f t="shared" si="116"/>
        <v>-0.4834592493840182</v>
      </c>
    </row>
    <row r="500" spans="1:12" ht="12.75">
      <c r="A500" s="58" t="s">
        <v>421</v>
      </c>
      <c r="L500" s="58" t="s">
        <v>421</v>
      </c>
    </row>
    <row r="501" spans="1:12" ht="12.75">
      <c r="A501" s="59" t="s">
        <v>147</v>
      </c>
      <c r="L501" s="59" t="s">
        <v>147</v>
      </c>
    </row>
    <row r="502" spans="1:18" ht="12.75">
      <c r="A502" t="s">
        <v>127</v>
      </c>
      <c r="B502" t="s">
        <v>509</v>
      </c>
      <c r="C502" t="s">
        <v>414</v>
      </c>
      <c r="D502" t="s">
        <v>519</v>
      </c>
      <c r="E502" t="s">
        <v>598</v>
      </c>
      <c r="G502" t="s">
        <v>207</v>
      </c>
      <c r="L502" t="s">
        <v>127</v>
      </c>
      <c r="M502" t="s">
        <v>509</v>
      </c>
      <c r="N502" t="s">
        <v>414</v>
      </c>
      <c r="O502" t="s">
        <v>519</v>
      </c>
      <c r="P502" t="s">
        <v>598</v>
      </c>
      <c r="R502" t="s">
        <v>207</v>
      </c>
    </row>
    <row r="503" spans="1:18" ht="12.75">
      <c r="A503">
        <v>5</v>
      </c>
      <c r="B503">
        <v>26</v>
      </c>
      <c r="C503" s="3">
        <v>0.22</v>
      </c>
      <c r="D503" s="60">
        <f>COUNT(C503:C509)</f>
        <v>7</v>
      </c>
      <c r="E503" s="3">
        <f>AVERAGE(C503:C509)</f>
        <v>0.23571428571428574</v>
      </c>
      <c r="G503" s="3">
        <f aca="true" t="shared" si="117" ref="G503:G509">LOG10(C503)</f>
        <v>-0.6575773191777937</v>
      </c>
      <c r="L503">
        <v>5</v>
      </c>
      <c r="M503">
        <v>26</v>
      </c>
      <c r="N503" s="3">
        <f aca="true" t="shared" si="118" ref="N503:N509">-LN(1-C503)</f>
        <v>0.24846135929849958</v>
      </c>
      <c r="O503" s="60">
        <f>COUNT(N503:N509)</f>
        <v>7</v>
      </c>
      <c r="P503" s="3">
        <f>AVERAGE(N503:N509)</f>
        <v>0.2722252444585482</v>
      </c>
      <c r="R503" s="3">
        <f aca="true" t="shared" si="119" ref="R503:R509">LOG10(N503)</f>
        <v>-0.6047411431410941</v>
      </c>
    </row>
    <row r="504" spans="1:18" ht="12.75">
      <c r="A504">
        <v>11</v>
      </c>
      <c r="B504">
        <v>27</v>
      </c>
      <c r="C504" s="3">
        <v>0.24</v>
      </c>
      <c r="E504" t="s">
        <v>431</v>
      </c>
      <c r="G504" s="3">
        <f t="shared" si="117"/>
        <v>-0.619788758288394</v>
      </c>
      <c r="L504">
        <v>11</v>
      </c>
      <c r="M504">
        <v>27</v>
      </c>
      <c r="N504" s="3">
        <f t="shared" si="118"/>
        <v>0.27443684570176025</v>
      </c>
      <c r="P504" t="s">
        <v>431</v>
      </c>
      <c r="R504" s="3">
        <f t="shared" si="119"/>
        <v>-0.5615575809729126</v>
      </c>
    </row>
    <row r="505" spans="1:18" ht="12.75">
      <c r="A505">
        <v>15</v>
      </c>
      <c r="B505">
        <v>40</v>
      </c>
      <c r="C505" s="3">
        <v>0.28</v>
      </c>
      <c r="E505" s="3">
        <f>STDEV(C503:C509)</f>
        <v>0.06827814263660639</v>
      </c>
      <c r="G505" s="3">
        <f t="shared" si="117"/>
        <v>-0.5528419686577807</v>
      </c>
      <c r="L505">
        <v>15</v>
      </c>
      <c r="M505">
        <v>40</v>
      </c>
      <c r="N505" s="3">
        <f t="shared" si="118"/>
        <v>0.32850406697203605</v>
      </c>
      <c r="P505" s="3">
        <f>STDEV(N503:N509)</f>
        <v>0.08922437976085645</v>
      </c>
      <c r="R505" s="3">
        <f t="shared" si="119"/>
        <v>-0.4834592493840182</v>
      </c>
    </row>
    <row r="506" spans="1:18" ht="12.75">
      <c r="A506">
        <f>A505+1</f>
        <v>16</v>
      </c>
      <c r="B506">
        <v>40</v>
      </c>
      <c r="C506" s="3">
        <v>0.25</v>
      </c>
      <c r="E506" t="s">
        <v>126</v>
      </c>
      <c r="F506" s="89" t="s">
        <v>323</v>
      </c>
      <c r="G506" s="3">
        <f t="shared" si="117"/>
        <v>-0.6020599913279624</v>
      </c>
      <c r="L506">
        <f>L505+1</f>
        <v>16</v>
      </c>
      <c r="M506">
        <v>40</v>
      </c>
      <c r="N506" s="3">
        <f t="shared" si="118"/>
        <v>0.2876820724517809</v>
      </c>
      <c r="P506" t="s">
        <v>126</v>
      </c>
      <c r="Q506" s="89" t="s">
        <v>323</v>
      </c>
      <c r="R506" s="3">
        <f t="shared" si="119"/>
        <v>-0.5410872012930469</v>
      </c>
    </row>
    <row r="507" spans="1:18" ht="12.75">
      <c r="A507">
        <v>20</v>
      </c>
      <c r="B507">
        <v>28</v>
      </c>
      <c r="C507" s="3">
        <v>0.2</v>
      </c>
      <c r="E507" s="3">
        <f>EXP(SQRT(LN(POWER(E505,2)/POWER(E503,2)+1)))</f>
        <v>1.328233929157347</v>
      </c>
      <c r="F507" s="90">
        <f>F509/E509</f>
        <v>1.153212647860117</v>
      </c>
      <c r="G507" s="3">
        <f t="shared" si="117"/>
        <v>-0.6989700043360187</v>
      </c>
      <c r="L507">
        <v>20</v>
      </c>
      <c r="M507">
        <v>28</v>
      </c>
      <c r="N507" s="3">
        <f t="shared" si="118"/>
        <v>0.22314355131420968</v>
      </c>
      <c r="P507" s="3">
        <f>EXP(SQRT(LN(POWER(P505,2)/POWER(P503,2)+1)))</f>
        <v>1.3763496489777787</v>
      </c>
      <c r="Q507" s="90">
        <f>Q509/P509</f>
        <v>1.1550209238614881</v>
      </c>
      <c r="R507" s="3">
        <f t="shared" si="119"/>
        <v>-0.6514156594356943</v>
      </c>
    </row>
    <row r="508" spans="1:18" ht="12.75">
      <c r="A508">
        <f>A507+1</f>
        <v>21</v>
      </c>
      <c r="B508">
        <v>35</v>
      </c>
      <c r="C508" s="3">
        <v>0.12</v>
      </c>
      <c r="E508" t="s">
        <v>384</v>
      </c>
      <c r="F508" t="s">
        <v>384</v>
      </c>
      <c r="G508" s="3">
        <f t="shared" si="117"/>
        <v>-0.9208187539523751</v>
      </c>
      <c r="L508">
        <f>L507+1</f>
        <v>21</v>
      </c>
      <c r="M508">
        <v>35</v>
      </c>
      <c r="N508" s="3">
        <f t="shared" si="118"/>
        <v>0.12783337150988489</v>
      </c>
      <c r="P508" t="s">
        <v>384</v>
      </c>
      <c r="Q508" t="s">
        <v>384</v>
      </c>
      <c r="R508" s="3">
        <f t="shared" si="119"/>
        <v>-0.8933557567356024</v>
      </c>
    </row>
    <row r="509" spans="1:18" ht="12.75">
      <c r="A509">
        <v>24</v>
      </c>
      <c r="B509">
        <v>35</v>
      </c>
      <c r="C509" s="3">
        <v>0.34</v>
      </c>
      <c r="E509" s="40">
        <f>LOG10(E507)</f>
        <v>0.12327456990795037</v>
      </c>
      <c r="F509" s="6">
        <f>STDEV(G503:G510)</f>
        <v>0.14216179317736455</v>
      </c>
      <c r="G509" s="3">
        <f t="shared" si="117"/>
        <v>-0.46852108295774486</v>
      </c>
      <c r="L509">
        <v>24</v>
      </c>
      <c r="M509">
        <v>35</v>
      </c>
      <c r="N509" s="3">
        <f t="shared" si="118"/>
        <v>0.4155154439616659</v>
      </c>
      <c r="P509" s="40">
        <f>LOG10(P507)</f>
        <v>0.13872877643720435</v>
      </c>
      <c r="Q509" s="94">
        <f>STDEV(R503:R510)</f>
        <v>0.1602346395266736</v>
      </c>
      <c r="R509" s="3">
        <f t="shared" si="119"/>
        <v>-0.38141282963515083</v>
      </c>
    </row>
    <row r="511" spans="1:12" ht="12.75">
      <c r="A511" s="58" t="s">
        <v>421</v>
      </c>
      <c r="L511" s="58" t="s">
        <v>421</v>
      </c>
    </row>
    <row r="512" spans="1:12" ht="12.75">
      <c r="A512" s="59" t="s">
        <v>596</v>
      </c>
      <c r="L512" s="59" t="s">
        <v>596</v>
      </c>
    </row>
    <row r="513" spans="1:18" ht="12.75">
      <c r="A513" t="s">
        <v>127</v>
      </c>
      <c r="B513" t="s">
        <v>509</v>
      </c>
      <c r="C513" t="s">
        <v>414</v>
      </c>
      <c r="D513" t="s">
        <v>519</v>
      </c>
      <c r="E513" t="s">
        <v>598</v>
      </c>
      <c r="G513" t="s">
        <v>207</v>
      </c>
      <c r="L513" t="s">
        <v>127</v>
      </c>
      <c r="M513" t="s">
        <v>509</v>
      </c>
      <c r="N513" t="s">
        <v>414</v>
      </c>
      <c r="O513" t="s">
        <v>519</v>
      </c>
      <c r="P513" t="s">
        <v>598</v>
      </c>
      <c r="R513" t="s">
        <v>207</v>
      </c>
    </row>
    <row r="514" spans="1:18" ht="12.75">
      <c r="A514">
        <v>5</v>
      </c>
      <c r="B514">
        <v>26</v>
      </c>
      <c r="C514" s="3">
        <v>0.245</v>
      </c>
      <c r="D514" s="60">
        <f>COUNT(C514:C520)</f>
        <v>7</v>
      </c>
      <c r="E514" s="3">
        <f>AVERAGE(C514:C520)</f>
        <v>0.2671428571428572</v>
      </c>
      <c r="G514" s="3">
        <f aca="true" t="shared" si="120" ref="G514:G520">LOG10(C514)</f>
        <v>-0.6108339156354675</v>
      </c>
      <c r="L514">
        <v>5</v>
      </c>
      <c r="M514">
        <v>26</v>
      </c>
      <c r="N514" s="3">
        <f>-LN(1-C514)</f>
        <v>0.28103752973311236</v>
      </c>
      <c r="O514" s="60">
        <f>COUNT(N514:N520)</f>
        <v>7</v>
      </c>
      <c r="P514" s="3">
        <f>AVERAGE(N514:N520)</f>
        <v>0.31407479932588733</v>
      </c>
      <c r="R514" s="3">
        <f aca="true" t="shared" si="121" ref="R514:R520">LOG10(N514)</f>
        <v>-0.5512356805658497</v>
      </c>
    </row>
    <row r="515" spans="1:18" ht="12.75">
      <c r="A515">
        <v>11</v>
      </c>
      <c r="B515">
        <v>27</v>
      </c>
      <c r="C515" s="3">
        <v>0.295</v>
      </c>
      <c r="E515" t="s">
        <v>431</v>
      </c>
      <c r="G515" s="3">
        <f t="shared" si="120"/>
        <v>-0.530177984021837</v>
      </c>
      <c r="L515">
        <v>11</v>
      </c>
      <c r="M515">
        <v>27</v>
      </c>
      <c r="N515" s="3">
        <f aca="true" t="shared" si="122" ref="N515:N520">-LN(1-C515)</f>
        <v>0.34955747616986826</v>
      </c>
      <c r="P515" t="s">
        <v>431</v>
      </c>
      <c r="R515" s="3">
        <f t="shared" si="121"/>
        <v>-0.4564814049507989</v>
      </c>
    </row>
    <row r="516" spans="1:18" ht="12.75">
      <c r="A516">
        <v>15</v>
      </c>
      <c r="B516">
        <v>40</v>
      </c>
      <c r="C516" s="3">
        <v>0.34</v>
      </c>
      <c r="E516" s="3">
        <f>STDEV(C514:C520)</f>
        <v>0.0647982216099294</v>
      </c>
      <c r="G516" s="3">
        <f t="shared" si="120"/>
        <v>-0.46852108295774486</v>
      </c>
      <c r="L516">
        <v>15</v>
      </c>
      <c r="M516">
        <v>40</v>
      </c>
      <c r="N516" s="3">
        <f t="shared" si="122"/>
        <v>0.4155154439616659</v>
      </c>
      <c r="P516" s="3">
        <f>STDEV(N514:N520)</f>
        <v>0.08683455178619015</v>
      </c>
      <c r="R516" s="3">
        <f t="shared" si="121"/>
        <v>-0.38141282963515083</v>
      </c>
    </row>
    <row r="517" spans="1:18" ht="12.75">
      <c r="A517">
        <f>A516+1</f>
        <v>16</v>
      </c>
      <c r="B517">
        <v>40</v>
      </c>
      <c r="C517" s="3">
        <v>0.3</v>
      </c>
      <c r="E517" t="s">
        <v>126</v>
      </c>
      <c r="F517" s="89" t="s">
        <v>323</v>
      </c>
      <c r="G517" s="3">
        <f t="shared" si="120"/>
        <v>-0.5228787452803376</v>
      </c>
      <c r="L517">
        <f>L516+1</f>
        <v>16</v>
      </c>
      <c r="M517">
        <v>40</v>
      </c>
      <c r="N517" s="3">
        <f t="shared" si="122"/>
        <v>0.3566749439387324</v>
      </c>
      <c r="P517" t="s">
        <v>126</v>
      </c>
      <c r="Q517" s="89" t="s">
        <v>323</v>
      </c>
      <c r="R517" s="3">
        <f t="shared" si="121"/>
        <v>-0.44772739834696257</v>
      </c>
    </row>
    <row r="518" spans="1:18" ht="12.75">
      <c r="A518">
        <v>20</v>
      </c>
      <c r="B518">
        <v>28</v>
      </c>
      <c r="C518" s="3">
        <v>0.21</v>
      </c>
      <c r="E518" s="3">
        <f>EXP(SQRT(LN(POWER(E516,2)/POWER(E514,2)+1)))</f>
        <v>1.2701078173300955</v>
      </c>
      <c r="F518" s="90">
        <f>F520/E520</f>
        <v>1.1278642667904621</v>
      </c>
      <c r="G518" s="3">
        <f t="shared" si="120"/>
        <v>-0.6777807052660807</v>
      </c>
      <c r="L518">
        <v>20</v>
      </c>
      <c r="M518">
        <v>28</v>
      </c>
      <c r="N518" s="3">
        <f t="shared" si="122"/>
        <v>0.23572233352106983</v>
      </c>
      <c r="P518" s="3">
        <f>EXP(SQRT(LN(POWER(P516,2)/POWER(P514,2)+1)))</f>
        <v>1.3118022417270778</v>
      </c>
      <c r="Q518" s="90">
        <f>Q520/P520</f>
        <v>1.1446206139811022</v>
      </c>
      <c r="R518" s="3">
        <f t="shared" si="121"/>
        <v>-0.6275992682798079</v>
      </c>
    </row>
    <row r="519" spans="1:18" ht="12.75">
      <c r="A519">
        <f>A518+1</f>
        <v>21</v>
      </c>
      <c r="B519">
        <v>35</v>
      </c>
      <c r="C519" s="3">
        <v>0.16</v>
      </c>
      <c r="E519" t="s">
        <v>384</v>
      </c>
      <c r="F519" t="s">
        <v>384</v>
      </c>
      <c r="G519" s="3">
        <f t="shared" si="120"/>
        <v>-0.7958800173440752</v>
      </c>
      <c r="L519">
        <f>L518+1</f>
        <v>21</v>
      </c>
      <c r="M519">
        <v>35</v>
      </c>
      <c r="N519" s="3">
        <f t="shared" si="122"/>
        <v>0.1743533871447778</v>
      </c>
      <c r="P519" t="s">
        <v>384</v>
      </c>
      <c r="Q519" t="s">
        <v>384</v>
      </c>
      <c r="R519" s="3">
        <f t="shared" si="121"/>
        <v>-0.7585696112131687</v>
      </c>
    </row>
    <row r="520" spans="1:18" ht="12.75">
      <c r="A520">
        <v>24</v>
      </c>
      <c r="B520">
        <v>35</v>
      </c>
      <c r="C520" s="3">
        <v>0.32</v>
      </c>
      <c r="E520" s="40">
        <f>LOG10(E518)</f>
        <v>0.10384058905362001</v>
      </c>
      <c r="F520" s="6">
        <f>STDEV(G514:G521)</f>
        <v>0.11711808983605082</v>
      </c>
      <c r="G520" s="3">
        <f t="shared" si="120"/>
        <v>-0.494850021680094</v>
      </c>
      <c r="L520">
        <v>24</v>
      </c>
      <c r="M520">
        <v>35</v>
      </c>
      <c r="N520" s="3">
        <f t="shared" si="122"/>
        <v>0.3856624808119848</v>
      </c>
      <c r="P520" s="40">
        <f>LOG10(P518)</f>
        <v>0.11786836872859288</v>
      </c>
      <c r="Q520" s="94">
        <f>STDEV(R514:R521)</f>
        <v>0.13491456458307294</v>
      </c>
      <c r="R520" s="3">
        <f t="shared" si="121"/>
        <v>-0.41379260943288027</v>
      </c>
    </row>
    <row r="522" spans="1:12" ht="12.75">
      <c r="A522" s="58" t="s">
        <v>421</v>
      </c>
      <c r="L522" s="58" t="s">
        <v>421</v>
      </c>
    </row>
    <row r="523" spans="1:12" ht="12.75">
      <c r="A523" s="59" t="s">
        <v>58</v>
      </c>
      <c r="L523" s="59" t="s">
        <v>58</v>
      </c>
    </row>
    <row r="524" spans="1:18" ht="12.75">
      <c r="A524" t="s">
        <v>127</v>
      </c>
      <c r="B524" t="s">
        <v>509</v>
      </c>
      <c r="C524" t="s">
        <v>414</v>
      </c>
      <c r="D524" t="s">
        <v>519</v>
      </c>
      <c r="E524" t="s">
        <v>598</v>
      </c>
      <c r="G524" t="s">
        <v>207</v>
      </c>
      <c r="L524" t="s">
        <v>127</v>
      </c>
      <c r="M524" t="s">
        <v>509</v>
      </c>
      <c r="N524" t="s">
        <v>414</v>
      </c>
      <c r="O524" t="s">
        <v>519</v>
      </c>
      <c r="P524" t="s">
        <v>598</v>
      </c>
      <c r="R524" t="s">
        <v>207</v>
      </c>
    </row>
    <row r="525" spans="1:18" ht="12.75">
      <c r="A525">
        <v>5</v>
      </c>
      <c r="B525">
        <v>26</v>
      </c>
      <c r="C525" s="3">
        <v>0.22</v>
      </c>
      <c r="D525" s="60">
        <f>COUNT(C525:C531)</f>
        <v>7</v>
      </c>
      <c r="E525" s="3">
        <f>AVERAGE(C525:C531)</f>
        <v>0.20214285714285715</v>
      </c>
      <c r="G525" s="3">
        <f aca="true" t="shared" si="123" ref="G525:G531">LOG10(C525)</f>
        <v>-0.6575773191777937</v>
      </c>
      <c r="L525">
        <v>5</v>
      </c>
      <c r="M525">
        <v>26</v>
      </c>
      <c r="N525" s="3">
        <f aca="true" t="shared" si="124" ref="N525:N531">-LN(1-C525)</f>
        <v>0.24846135929849958</v>
      </c>
      <c r="O525" s="60">
        <f>COUNT(N525:N531)</f>
        <v>7</v>
      </c>
      <c r="P525" s="3">
        <f>AVERAGE(N525:N531)</f>
        <v>0.22798116017184786</v>
      </c>
      <c r="R525" s="3">
        <f aca="true" t="shared" si="125" ref="R525:R531">LOG10(N525)</f>
        <v>-0.6047411431410941</v>
      </c>
    </row>
    <row r="526" spans="1:18" ht="12.75">
      <c r="A526">
        <v>11</v>
      </c>
      <c r="B526">
        <v>27</v>
      </c>
      <c r="C526" s="3">
        <v>0.2</v>
      </c>
      <c r="E526" t="s">
        <v>431</v>
      </c>
      <c r="G526" s="3">
        <f t="shared" si="123"/>
        <v>-0.6989700043360187</v>
      </c>
      <c r="L526">
        <v>11</v>
      </c>
      <c r="M526">
        <v>27</v>
      </c>
      <c r="N526" s="3">
        <f t="shared" si="124"/>
        <v>0.22314355131420968</v>
      </c>
      <c r="P526" t="s">
        <v>431</v>
      </c>
      <c r="R526" s="3">
        <f t="shared" si="125"/>
        <v>-0.6514156594356943</v>
      </c>
    </row>
    <row r="527" spans="1:18" ht="12.75">
      <c r="A527">
        <v>15</v>
      </c>
      <c r="B527">
        <v>40</v>
      </c>
      <c r="C527" s="3">
        <v>0.275</v>
      </c>
      <c r="E527" s="3">
        <f>STDEV(C525:C531)</f>
        <v>0.056262564734254616</v>
      </c>
      <c r="G527" s="3">
        <f t="shared" si="123"/>
        <v>-0.5606673061697373</v>
      </c>
      <c r="L527">
        <v>15</v>
      </c>
      <c r="M527">
        <v>40</v>
      </c>
      <c r="N527" s="3">
        <f t="shared" si="124"/>
        <v>0.32158362412746233</v>
      </c>
      <c r="P527" s="3">
        <f>STDEV(N525:N531)</f>
        <v>0.07112106655168013</v>
      </c>
      <c r="R527" s="3">
        <f t="shared" si="125"/>
        <v>-0.4927060747623795</v>
      </c>
    </row>
    <row r="528" spans="1:18" ht="12.75">
      <c r="A528">
        <f>A527+1</f>
        <v>16</v>
      </c>
      <c r="B528">
        <v>40</v>
      </c>
      <c r="C528" s="3">
        <v>0.16</v>
      </c>
      <c r="E528" t="s">
        <v>126</v>
      </c>
      <c r="F528" s="89" t="s">
        <v>323</v>
      </c>
      <c r="G528" s="3">
        <f t="shared" si="123"/>
        <v>-0.7958800173440752</v>
      </c>
      <c r="L528">
        <f>L527+1</f>
        <v>16</v>
      </c>
      <c r="M528">
        <v>40</v>
      </c>
      <c r="N528" s="3">
        <f t="shared" si="124"/>
        <v>0.1743533871447778</v>
      </c>
      <c r="P528" t="s">
        <v>126</v>
      </c>
      <c r="Q528" s="89" t="s">
        <v>323</v>
      </c>
      <c r="R528" s="3">
        <f t="shared" si="125"/>
        <v>-0.7585696112131687</v>
      </c>
    </row>
    <row r="529" spans="1:18" ht="12.75">
      <c r="A529">
        <v>20</v>
      </c>
      <c r="B529">
        <v>28</v>
      </c>
      <c r="C529" s="3">
        <v>0.16</v>
      </c>
      <c r="E529" s="3">
        <f>EXP(SQRT(LN(POWER(E527,2)/POWER(E525,2)+1)))</f>
        <v>1.3141043357884425</v>
      </c>
      <c r="F529" s="90">
        <f>F531/E531</f>
        <v>1.0375278514913018</v>
      </c>
      <c r="G529" s="3">
        <f t="shared" si="123"/>
        <v>-0.7958800173440752</v>
      </c>
      <c r="L529">
        <v>20</v>
      </c>
      <c r="M529">
        <v>28</v>
      </c>
      <c r="N529" s="3">
        <f t="shared" si="124"/>
        <v>0.1743533871447778</v>
      </c>
      <c r="P529" s="3">
        <f>EXP(SQRT(LN(POWER(P527,2)/POWER(P525,2)+1)))</f>
        <v>1.3562804743970205</v>
      </c>
      <c r="Q529" s="90">
        <f>Q531/P531</f>
        <v>1.0413123841733498</v>
      </c>
      <c r="R529" s="3">
        <f t="shared" si="125"/>
        <v>-0.7585696112131687</v>
      </c>
    </row>
    <row r="530" spans="1:18" ht="12.75">
      <c r="A530">
        <f>A529+1</f>
        <v>21</v>
      </c>
      <c r="B530">
        <v>35</v>
      </c>
      <c r="C530" s="3">
        <v>0.13</v>
      </c>
      <c r="E530" t="s">
        <v>384</v>
      </c>
      <c r="F530" t="s">
        <v>384</v>
      </c>
      <c r="G530" s="3">
        <f t="shared" si="123"/>
        <v>-0.8860566476931632</v>
      </c>
      <c r="L530">
        <f>L529+1</f>
        <v>21</v>
      </c>
      <c r="M530">
        <v>35</v>
      </c>
      <c r="N530" s="3">
        <f t="shared" si="124"/>
        <v>0.13926206733350766</v>
      </c>
      <c r="P530" t="s">
        <v>384</v>
      </c>
      <c r="Q530" t="s">
        <v>384</v>
      </c>
      <c r="R530" s="3">
        <f t="shared" si="125"/>
        <v>-0.8561671620480555</v>
      </c>
    </row>
    <row r="531" spans="1:18" ht="12.75">
      <c r="A531">
        <v>24</v>
      </c>
      <c r="B531">
        <v>35</v>
      </c>
      <c r="C531" s="3">
        <v>0.27</v>
      </c>
      <c r="E531" s="40">
        <f>LOG10(E529)</f>
        <v>0.11862984822094924</v>
      </c>
      <c r="F531" s="94">
        <f>STDEV(G525:G532)</f>
        <v>0.1230817715474207</v>
      </c>
      <c r="G531" s="3">
        <f t="shared" si="123"/>
        <v>-0.5686362358410126</v>
      </c>
      <c r="L531">
        <v>24</v>
      </c>
      <c r="M531">
        <v>35</v>
      </c>
      <c r="N531" s="3">
        <f t="shared" si="124"/>
        <v>0.31471074483970024</v>
      </c>
      <c r="P531" s="40">
        <f>LOG10(P529)</f>
        <v>0.13234950950691002</v>
      </c>
      <c r="Q531" s="94">
        <f>STDEV(R525:R532)</f>
        <v>0.1378171832888139</v>
      </c>
      <c r="R531" s="3">
        <f t="shared" si="125"/>
        <v>-0.5020884291715288</v>
      </c>
    </row>
    <row r="533" spans="1:12" ht="12.75">
      <c r="A533" s="58" t="s">
        <v>421</v>
      </c>
      <c r="L533" s="58" t="s">
        <v>421</v>
      </c>
    </row>
    <row r="534" spans="1:12" ht="12.75">
      <c r="A534" s="59" t="s">
        <v>597</v>
      </c>
      <c r="L534" s="59" t="s">
        <v>597</v>
      </c>
    </row>
    <row r="535" spans="1:18" ht="12.75">
      <c r="A535" t="s">
        <v>127</v>
      </c>
      <c r="B535" t="s">
        <v>509</v>
      </c>
      <c r="C535" t="s">
        <v>414</v>
      </c>
      <c r="D535" t="s">
        <v>519</v>
      </c>
      <c r="E535" t="s">
        <v>598</v>
      </c>
      <c r="G535" t="s">
        <v>207</v>
      </c>
      <c r="L535" t="s">
        <v>127</v>
      </c>
      <c r="M535" t="s">
        <v>509</v>
      </c>
      <c r="N535" t="s">
        <v>414</v>
      </c>
      <c r="O535" t="s">
        <v>519</v>
      </c>
      <c r="P535" t="s">
        <v>598</v>
      </c>
      <c r="R535" t="s">
        <v>207</v>
      </c>
    </row>
    <row r="536" spans="1:18" ht="12.75">
      <c r="A536">
        <v>5</v>
      </c>
      <c r="B536">
        <v>26</v>
      </c>
      <c r="C536" s="3">
        <v>0.25</v>
      </c>
      <c r="D536" s="60">
        <f>COUNT(C536:C542)</f>
        <v>7</v>
      </c>
      <c r="E536" s="3">
        <f>AVERAGE(C536:C542)</f>
        <v>0.23500000000000001</v>
      </c>
      <c r="G536" s="3">
        <f aca="true" t="shared" si="126" ref="G536:G542">LOG10(C536)</f>
        <v>-0.6020599913279624</v>
      </c>
      <c r="L536">
        <v>5</v>
      </c>
      <c r="M536">
        <v>26</v>
      </c>
      <c r="N536" s="3">
        <f aca="true" t="shared" si="127" ref="N536:N542">-LN(1-C536)</f>
        <v>0.2876820724517809</v>
      </c>
      <c r="O536" s="60">
        <f>COUNT(N536:N542)</f>
        <v>7</v>
      </c>
      <c r="P536" s="3">
        <f>AVERAGE(N536:N542)</f>
        <v>0.2729188298019188</v>
      </c>
      <c r="R536" s="3">
        <f aca="true" t="shared" si="128" ref="R536:R542">LOG10(N536)</f>
        <v>-0.5410872012930469</v>
      </c>
    </row>
    <row r="537" spans="1:18" ht="12.75">
      <c r="A537">
        <v>11</v>
      </c>
      <c r="B537">
        <v>27</v>
      </c>
      <c r="C537" s="3">
        <v>0.2</v>
      </c>
      <c r="E537" t="s">
        <v>431</v>
      </c>
      <c r="G537" s="3">
        <f t="shared" si="126"/>
        <v>-0.6989700043360187</v>
      </c>
      <c r="L537">
        <v>11</v>
      </c>
      <c r="M537">
        <v>27</v>
      </c>
      <c r="N537" s="3">
        <f t="shared" si="127"/>
        <v>0.22314355131420968</v>
      </c>
      <c r="P537" t="s">
        <v>431</v>
      </c>
      <c r="R537" s="3">
        <f t="shared" si="128"/>
        <v>-0.6514156594356943</v>
      </c>
    </row>
    <row r="538" spans="1:18" ht="12.75">
      <c r="A538">
        <v>15</v>
      </c>
      <c r="B538">
        <v>40</v>
      </c>
      <c r="C538" s="3">
        <v>0.385</v>
      </c>
      <c r="E538" s="3">
        <f>STDEV(C536:C542)</f>
        <v>0.0804155872120988</v>
      </c>
      <c r="G538" s="3">
        <f t="shared" si="126"/>
        <v>-0.4145392704914993</v>
      </c>
      <c r="L538">
        <v>15</v>
      </c>
      <c r="M538">
        <v>40</v>
      </c>
      <c r="N538" s="3">
        <f t="shared" si="127"/>
        <v>0.48613301117561925</v>
      </c>
      <c r="P538" s="3">
        <f>STDEV(N536:N542)</f>
        <v>0.1102121610976862</v>
      </c>
      <c r="R538" s="3">
        <f t="shared" si="128"/>
        <v>-0.3132448868772486</v>
      </c>
    </row>
    <row r="539" spans="1:18" ht="12.75">
      <c r="A539">
        <f>A538+1</f>
        <v>16</v>
      </c>
      <c r="B539">
        <v>40</v>
      </c>
      <c r="C539" s="3">
        <v>0.23</v>
      </c>
      <c r="E539" t="s">
        <v>126</v>
      </c>
      <c r="F539" s="89" t="s">
        <v>323</v>
      </c>
      <c r="G539" s="3">
        <f t="shared" si="126"/>
        <v>-0.6382721639824072</v>
      </c>
      <c r="L539">
        <f>L538+1</f>
        <v>16</v>
      </c>
      <c r="M539">
        <v>40</v>
      </c>
      <c r="N539" s="3">
        <f t="shared" si="127"/>
        <v>0.2613647641344075</v>
      </c>
      <c r="P539" t="s">
        <v>126</v>
      </c>
      <c r="Q539" s="89" t="s">
        <v>323</v>
      </c>
      <c r="R539" s="3">
        <f t="shared" si="128"/>
        <v>-0.5827529621780622</v>
      </c>
    </row>
    <row r="540" spans="1:18" ht="12.75">
      <c r="A540">
        <v>20</v>
      </c>
      <c r="B540">
        <v>28</v>
      </c>
      <c r="C540" s="3">
        <v>0.175</v>
      </c>
      <c r="E540" s="3">
        <f>EXP(SQRT(LN(POWER(E538,2)/POWER(E536,2)+1)))</f>
        <v>1.3948206617747734</v>
      </c>
      <c r="F540" s="90">
        <f>F542/E542</f>
        <v>1.0050795492561688</v>
      </c>
      <c r="G540" s="3">
        <f t="shared" si="126"/>
        <v>-0.7569619513137056</v>
      </c>
      <c r="L540">
        <v>20</v>
      </c>
      <c r="M540">
        <v>28</v>
      </c>
      <c r="N540" s="3">
        <f t="shared" si="127"/>
        <v>0.1923718926474561</v>
      </c>
      <c r="P540" s="3">
        <f>EXP(SQRT(LN(POWER(P538,2)/POWER(P536,2)+1)))</f>
        <v>1.475026238246487</v>
      </c>
      <c r="Q540" s="90">
        <f>Q542/P542</f>
        <v>0.9916776223392492</v>
      </c>
      <c r="R540" s="3">
        <f t="shared" si="128"/>
        <v>-0.715858382193407</v>
      </c>
    </row>
    <row r="541" spans="1:18" ht="12.75">
      <c r="A541">
        <f>A540+1</f>
        <v>21</v>
      </c>
      <c r="B541">
        <v>35</v>
      </c>
      <c r="C541" s="3">
        <v>0.135</v>
      </c>
      <c r="E541" t="s">
        <v>384</v>
      </c>
      <c r="F541" t="s">
        <v>384</v>
      </c>
      <c r="G541" s="3">
        <f t="shared" si="126"/>
        <v>-0.8696662315049939</v>
      </c>
      <c r="L541">
        <f>L540+1</f>
        <v>21</v>
      </c>
      <c r="M541">
        <v>35</v>
      </c>
      <c r="N541" s="3">
        <f t="shared" si="127"/>
        <v>0.14502577205025774</v>
      </c>
      <c r="P541" t="s">
        <v>384</v>
      </c>
      <c r="Q541" t="s">
        <v>384</v>
      </c>
      <c r="R541" s="3">
        <f t="shared" si="128"/>
        <v>-0.8385548138708863</v>
      </c>
    </row>
    <row r="542" spans="1:18" ht="12.75">
      <c r="A542">
        <v>24</v>
      </c>
      <c r="B542">
        <v>35</v>
      </c>
      <c r="C542" s="3">
        <v>0.27</v>
      </c>
      <c r="E542" s="40">
        <f>LOG10(E540)</f>
        <v>0.14451837204800863</v>
      </c>
      <c r="F542" s="6">
        <f>STDEV(G536:G543)</f>
        <v>0.14525246023724783</v>
      </c>
      <c r="G542" s="3">
        <f t="shared" si="126"/>
        <v>-0.5686362358410126</v>
      </c>
      <c r="L542">
        <v>24</v>
      </c>
      <c r="M542">
        <v>35</v>
      </c>
      <c r="N542" s="3">
        <f t="shared" si="127"/>
        <v>0.31471074483970024</v>
      </c>
      <c r="P542" s="40">
        <f>LOG10(P540)</f>
        <v>0.16879974575439427</v>
      </c>
      <c r="Q542" s="94">
        <f>STDEV(R536:R543)</f>
        <v>0.16739493052118748</v>
      </c>
      <c r="R542" s="3">
        <f t="shared" si="128"/>
        <v>-0.5020884291715288</v>
      </c>
    </row>
    <row r="544" spans="1:12" ht="12.75">
      <c r="A544" s="58" t="s">
        <v>421</v>
      </c>
      <c r="L544" s="58" t="s">
        <v>421</v>
      </c>
    </row>
    <row r="545" spans="1:12" ht="12.75">
      <c r="A545" s="59" t="s">
        <v>319</v>
      </c>
      <c r="L545" s="59" t="s">
        <v>319</v>
      </c>
    </row>
    <row r="546" spans="1:18" ht="12.75">
      <c r="A546" t="s">
        <v>127</v>
      </c>
      <c r="B546" t="s">
        <v>509</v>
      </c>
      <c r="C546" t="s">
        <v>414</v>
      </c>
      <c r="D546" t="s">
        <v>519</v>
      </c>
      <c r="E546" t="s">
        <v>598</v>
      </c>
      <c r="G546" t="s">
        <v>207</v>
      </c>
      <c r="L546" t="s">
        <v>127</v>
      </c>
      <c r="M546" t="s">
        <v>509</v>
      </c>
      <c r="N546" t="s">
        <v>414</v>
      </c>
      <c r="O546" t="s">
        <v>519</v>
      </c>
      <c r="P546" t="s">
        <v>598</v>
      </c>
      <c r="R546" t="s">
        <v>207</v>
      </c>
    </row>
    <row r="547" spans="1:18" ht="12.75">
      <c r="A547">
        <v>5</v>
      </c>
      <c r="B547">
        <v>26</v>
      </c>
      <c r="C547" s="3">
        <v>0.28</v>
      </c>
      <c r="D547" s="60">
        <f>COUNT(C547:C553)</f>
        <v>6</v>
      </c>
      <c r="E547" s="3">
        <f>AVERAGE(C547:C553)</f>
        <v>0.29083333333333333</v>
      </c>
      <c r="G547" s="3">
        <f>LOG10(C547)</f>
        <v>-0.5528419686577807</v>
      </c>
      <c r="L547">
        <v>5</v>
      </c>
      <c r="M547">
        <v>26</v>
      </c>
      <c r="N547" s="3">
        <f>-LN(1-C547)</f>
        <v>0.32850406697203605</v>
      </c>
      <c r="O547" s="60">
        <f>COUNT(N547:N553)</f>
        <v>6</v>
      </c>
      <c r="P547" s="3">
        <f>AVERAGE(N547:N553)</f>
        <v>0.3531590096568506</v>
      </c>
      <c r="R547" s="3">
        <f>LOG10(N547)</f>
        <v>-0.4834592493840182</v>
      </c>
    </row>
    <row r="548" spans="1:18" ht="12.75">
      <c r="A548">
        <v>11</v>
      </c>
      <c r="B548">
        <v>27</v>
      </c>
      <c r="C548" s="3">
        <v>0.235</v>
      </c>
      <c r="E548" t="s">
        <v>431</v>
      </c>
      <c r="G548" s="3">
        <f>LOG10(C548)</f>
        <v>-0.6289321377282637</v>
      </c>
      <c r="L548">
        <v>11</v>
      </c>
      <c r="M548">
        <v>27</v>
      </c>
      <c r="N548" s="3">
        <f>-LN(1-C548)</f>
        <v>0.2678794451556012</v>
      </c>
      <c r="P548" t="s">
        <v>431</v>
      </c>
      <c r="R548" s="3">
        <f>LOG10(N548)</f>
        <v>-0.5720606092659098</v>
      </c>
    </row>
    <row r="549" spans="1:18" ht="12.75">
      <c r="A549">
        <v>15</v>
      </c>
      <c r="B549">
        <v>40</v>
      </c>
      <c r="C549" s="3">
        <v>0.48</v>
      </c>
      <c r="E549" s="3">
        <f>STDEV(C547:C553)</f>
        <v>0.10022059003351873</v>
      </c>
      <c r="G549" s="3">
        <f>LOG10(C549)</f>
        <v>-0.3187587626244128</v>
      </c>
      <c r="L549">
        <v>15</v>
      </c>
      <c r="M549">
        <v>40</v>
      </c>
      <c r="N549" s="3">
        <f>-LN(1-C549)</f>
        <v>0.6539264674066639</v>
      </c>
      <c r="P549" s="3">
        <f>STDEV(N547:N553)</f>
        <v>0.15605339454002304</v>
      </c>
      <c r="R549" s="3">
        <f>LOG10(N549)</f>
        <v>-0.18447108438973517</v>
      </c>
    </row>
    <row r="550" spans="1:18" ht="12.75">
      <c r="A550">
        <f>A549+1</f>
        <v>16</v>
      </c>
      <c r="B550">
        <v>40</v>
      </c>
      <c r="C550" s="3"/>
      <c r="E550" t="s">
        <v>126</v>
      </c>
      <c r="F550" s="89" t="s">
        <v>323</v>
      </c>
      <c r="G550" s="3"/>
      <c r="L550">
        <f>L549+1</f>
        <v>16</v>
      </c>
      <c r="M550">
        <v>40</v>
      </c>
      <c r="N550" s="3"/>
      <c r="P550" t="s">
        <v>126</v>
      </c>
      <c r="Q550" s="89" t="s">
        <v>323</v>
      </c>
      <c r="R550" s="3"/>
    </row>
    <row r="551" spans="1:18" ht="12.75">
      <c r="A551">
        <v>20</v>
      </c>
      <c r="B551">
        <v>28</v>
      </c>
      <c r="C551" s="3">
        <v>0.2</v>
      </c>
      <c r="E551" s="3">
        <f>EXP(SQRT(LN(POWER(E549,2)/POWER(E547,2)+1)))</f>
        <v>1.3979091256284397</v>
      </c>
      <c r="F551" s="90">
        <f>F553/E553</f>
        <v>0.9137521578835366</v>
      </c>
      <c r="G551" s="3">
        <f>LOG10(C551)</f>
        <v>-0.6989700043360187</v>
      </c>
      <c r="L551">
        <v>20</v>
      </c>
      <c r="M551">
        <v>28</v>
      </c>
      <c r="N551" s="3">
        <f>-LN(1-C551)</f>
        <v>0.22314355131420968</v>
      </c>
      <c r="P551" s="3">
        <f>EXP(SQRT(LN(POWER(P549,2)/POWER(P547,2)+1)))</f>
        <v>1.5255088136226678</v>
      </c>
      <c r="Q551" s="90">
        <f>Q553/P553</f>
        <v>0.8935582860686839</v>
      </c>
      <c r="R551" s="3">
        <f>LOG10(N551)</f>
        <v>-0.6514156594356943</v>
      </c>
    </row>
    <row r="552" spans="1:18" ht="12.75">
      <c r="A552">
        <f>A551+1</f>
        <v>21</v>
      </c>
      <c r="B552">
        <v>35</v>
      </c>
      <c r="C552" s="3">
        <v>0.24</v>
      </c>
      <c r="E552" t="s">
        <v>384</v>
      </c>
      <c r="F552" t="s">
        <v>384</v>
      </c>
      <c r="G552" s="3">
        <f>LOG10(C552)</f>
        <v>-0.619788758288394</v>
      </c>
      <c r="L552">
        <f>L551+1</f>
        <v>21</v>
      </c>
      <c r="M552">
        <v>35</v>
      </c>
      <c r="N552" s="3">
        <f>-LN(1-C552)</f>
        <v>0.27443684570176025</v>
      </c>
      <c r="P552" t="s">
        <v>384</v>
      </c>
      <c r="Q552" t="s">
        <v>384</v>
      </c>
      <c r="R552" s="3">
        <f>LOG10(N552)</f>
        <v>-0.5615575809729126</v>
      </c>
    </row>
    <row r="553" spans="1:18" ht="12.75">
      <c r="A553">
        <v>24</v>
      </c>
      <c r="B553">
        <v>35</v>
      </c>
      <c r="C553" s="3">
        <v>0.31</v>
      </c>
      <c r="E553" s="40">
        <f>LOG10(E551)</f>
        <v>0.14547893999272046</v>
      </c>
      <c r="F553" s="6">
        <f>STDEV(G547:G554)</f>
        <v>0.13293169534495786</v>
      </c>
      <c r="G553" s="3">
        <f>LOG10(C553)</f>
        <v>-0.5086383061657272</v>
      </c>
      <c r="L553">
        <v>24</v>
      </c>
      <c r="M553">
        <v>35</v>
      </c>
      <c r="N553" s="3">
        <f>-LN(1-C553)</f>
        <v>0.371063681390832</v>
      </c>
      <c r="P553" s="40">
        <f>LOG10(P551)</f>
        <v>0.18341472112076138</v>
      </c>
      <c r="Q553" s="94">
        <f>STDEV(R547:R554)</f>
        <v>0.16389174384443317</v>
      </c>
      <c r="R553" s="3">
        <f>LOG10(N553)</f>
        <v>-0.4305515510229028</v>
      </c>
    </row>
    <row r="555" spans="1:12" ht="15.75">
      <c r="A555" s="61" t="s">
        <v>320</v>
      </c>
      <c r="L555" s="61" t="s">
        <v>320</v>
      </c>
    </row>
    <row r="557" spans="1:12" ht="12.75">
      <c r="A557" s="58" t="s">
        <v>421</v>
      </c>
      <c r="L557" s="58" t="s">
        <v>421</v>
      </c>
    </row>
    <row r="558" spans="1:12" ht="12.75">
      <c r="A558" s="59" t="s">
        <v>201</v>
      </c>
      <c r="L558" s="59" t="s">
        <v>201</v>
      </c>
    </row>
    <row r="559" spans="1:18" ht="12.75">
      <c r="A559" t="s">
        <v>127</v>
      </c>
      <c r="B559" t="s">
        <v>509</v>
      </c>
      <c r="C559" t="s">
        <v>414</v>
      </c>
      <c r="D559" t="s">
        <v>519</v>
      </c>
      <c r="E559" t="s">
        <v>598</v>
      </c>
      <c r="G559" t="s">
        <v>207</v>
      </c>
      <c r="L559" t="s">
        <v>127</v>
      </c>
      <c r="M559" t="s">
        <v>509</v>
      </c>
      <c r="N559" t="s">
        <v>414</v>
      </c>
      <c r="O559" t="s">
        <v>519</v>
      </c>
      <c r="P559" t="s">
        <v>598</v>
      </c>
      <c r="R559" t="s">
        <v>207</v>
      </c>
    </row>
    <row r="560" spans="1:18" ht="12.75">
      <c r="A560">
        <v>5</v>
      </c>
      <c r="B560">
        <v>26</v>
      </c>
      <c r="C560" s="3"/>
      <c r="D560" s="60">
        <f>COUNT(C560:C566)</f>
        <v>1</v>
      </c>
      <c r="E560" s="3"/>
      <c r="G560" s="3"/>
      <c r="L560">
        <v>5</v>
      </c>
      <c r="M560">
        <v>26</v>
      </c>
      <c r="N560" s="3"/>
      <c r="O560" s="60">
        <f>COUNT(N560:N566)</f>
        <v>1</v>
      </c>
      <c r="P560" s="3"/>
      <c r="R560" s="3"/>
    </row>
    <row r="561" spans="1:18" ht="12.75">
      <c r="A561">
        <v>11</v>
      </c>
      <c r="B561">
        <v>27</v>
      </c>
      <c r="C561" s="3"/>
      <c r="E561" t="s">
        <v>431</v>
      </c>
      <c r="G561" s="3"/>
      <c r="L561">
        <v>11</v>
      </c>
      <c r="M561">
        <v>27</v>
      </c>
      <c r="N561" s="3"/>
      <c r="P561" t="s">
        <v>431</v>
      </c>
      <c r="R561" s="3"/>
    </row>
    <row r="562" spans="1:18" ht="12.75">
      <c r="A562">
        <v>15</v>
      </c>
      <c r="B562">
        <v>40</v>
      </c>
      <c r="C562" s="3"/>
      <c r="E562" s="3"/>
      <c r="G562" s="3"/>
      <c r="L562">
        <v>15</v>
      </c>
      <c r="M562">
        <v>40</v>
      </c>
      <c r="N562" s="3"/>
      <c r="P562" s="3"/>
      <c r="R562" s="3"/>
    </row>
    <row r="563" spans="1:18" ht="12.75">
      <c r="A563">
        <f>A562+1</f>
        <v>16</v>
      </c>
      <c r="B563">
        <v>40</v>
      </c>
      <c r="C563" s="3"/>
      <c r="E563" t="s">
        <v>126</v>
      </c>
      <c r="G563" s="3"/>
      <c r="L563">
        <f>L562+1</f>
        <v>16</v>
      </c>
      <c r="M563">
        <v>40</v>
      </c>
      <c r="N563" s="3"/>
      <c r="P563" t="s">
        <v>126</v>
      </c>
      <c r="R563" s="3"/>
    </row>
    <row r="564" spans="1:18" ht="12.75">
      <c r="A564">
        <v>20</v>
      </c>
      <c r="B564">
        <v>28</v>
      </c>
      <c r="C564" s="3"/>
      <c r="E564" s="3"/>
      <c r="G564" s="3"/>
      <c r="L564">
        <v>20</v>
      </c>
      <c r="M564">
        <v>28</v>
      </c>
      <c r="N564" s="3"/>
      <c r="P564" s="3"/>
      <c r="R564" s="3"/>
    </row>
    <row r="565" spans="1:18" ht="12.75">
      <c r="A565">
        <f>A564+1</f>
        <v>21</v>
      </c>
      <c r="B565">
        <v>35</v>
      </c>
      <c r="C565" s="3">
        <v>0.265</v>
      </c>
      <c r="E565" t="s">
        <v>384</v>
      </c>
      <c r="F565" t="s">
        <v>384</v>
      </c>
      <c r="G565" s="3"/>
      <c r="L565">
        <f>L564+1</f>
        <v>21</v>
      </c>
      <c r="M565">
        <v>35</v>
      </c>
      <c r="N565" s="3">
        <f>-LN(1-C565)</f>
        <v>0.3078847797693004</v>
      </c>
      <c r="P565" t="s">
        <v>384</v>
      </c>
      <c r="Q565" t="s">
        <v>384</v>
      </c>
      <c r="R565" s="3"/>
    </row>
    <row r="566" spans="1:18" ht="12.75">
      <c r="A566">
        <v>24</v>
      </c>
      <c r="B566">
        <v>35</v>
      </c>
      <c r="C566" s="3"/>
      <c r="E566" s="40"/>
      <c r="F566" s="6"/>
      <c r="G566" s="3"/>
      <c r="L566">
        <v>24</v>
      </c>
      <c r="M566">
        <v>35</v>
      </c>
      <c r="N566" s="3"/>
      <c r="P566" s="40"/>
      <c r="Q566" s="6"/>
      <c r="R566" s="3"/>
    </row>
    <row r="567" spans="2:15" ht="12.75">
      <c r="B567" s="3"/>
      <c r="D567" s="3"/>
      <c r="M567" s="3"/>
      <c r="O567" s="3"/>
    </row>
    <row r="568" spans="1:12" ht="12.75">
      <c r="A568" s="58" t="s">
        <v>421</v>
      </c>
      <c r="L568" s="58" t="s">
        <v>421</v>
      </c>
    </row>
    <row r="569" spans="1:12" ht="12.75">
      <c r="A569" s="59" t="s">
        <v>202</v>
      </c>
      <c r="L569" s="59" t="s">
        <v>202</v>
      </c>
    </row>
    <row r="570" spans="1:18" ht="12.75">
      <c r="A570" t="s">
        <v>127</v>
      </c>
      <c r="B570" t="s">
        <v>509</v>
      </c>
      <c r="C570" t="s">
        <v>414</v>
      </c>
      <c r="D570" t="s">
        <v>519</v>
      </c>
      <c r="E570" t="s">
        <v>598</v>
      </c>
      <c r="G570" t="s">
        <v>207</v>
      </c>
      <c r="L570" t="s">
        <v>127</v>
      </c>
      <c r="M570" t="s">
        <v>509</v>
      </c>
      <c r="N570" t="s">
        <v>414</v>
      </c>
      <c r="O570" t="s">
        <v>519</v>
      </c>
      <c r="P570" t="s">
        <v>598</v>
      </c>
      <c r="R570" t="s">
        <v>207</v>
      </c>
    </row>
    <row r="571" spans="1:18" ht="12.75">
      <c r="A571">
        <v>5</v>
      </c>
      <c r="B571">
        <v>26</v>
      </c>
      <c r="C571" s="3">
        <v>0.375</v>
      </c>
      <c r="D571" s="60">
        <f>COUNT(C571:C577)</f>
        <v>7</v>
      </c>
      <c r="E571" s="3">
        <f>AVERAGE(C571:C577)</f>
        <v>0.3885714285714285</v>
      </c>
      <c r="G571" s="3">
        <f aca="true" t="shared" si="129" ref="G571:G577">LOG10(C571)</f>
        <v>-0.4259687322722811</v>
      </c>
      <c r="L571">
        <v>5</v>
      </c>
      <c r="M571">
        <v>26</v>
      </c>
      <c r="N571" s="3">
        <f aca="true" t="shared" si="130" ref="N571:N577">-LN(1-C571)</f>
        <v>0.4700036292457356</v>
      </c>
      <c r="O571" s="60">
        <f>COUNT(N571:N577)</f>
        <v>7</v>
      </c>
      <c r="P571" s="3">
        <f>AVERAGE(N571:N577)</f>
        <v>0.49898838640067583</v>
      </c>
      <c r="R571" s="3">
        <f aca="true" t="shared" si="131" ref="R571:R577">LOG10(N571)</f>
        <v>-0.3278987885423441</v>
      </c>
    </row>
    <row r="572" spans="1:18" ht="12.75">
      <c r="A572">
        <v>11</v>
      </c>
      <c r="B572">
        <v>27</v>
      </c>
      <c r="C572" s="3">
        <v>0.29</v>
      </c>
      <c r="E572" t="s">
        <v>431</v>
      </c>
      <c r="G572" s="3">
        <f t="shared" si="129"/>
        <v>-0.5376020021010439</v>
      </c>
      <c r="L572">
        <v>11</v>
      </c>
      <c r="M572">
        <v>27</v>
      </c>
      <c r="N572" s="3">
        <f t="shared" si="130"/>
        <v>0.342490308946776</v>
      </c>
      <c r="P572" t="s">
        <v>431</v>
      </c>
      <c r="R572" s="3">
        <f t="shared" si="131"/>
        <v>-0.46535171272771275</v>
      </c>
    </row>
    <row r="573" spans="1:18" ht="12.75">
      <c r="A573">
        <v>15</v>
      </c>
      <c r="B573">
        <v>40</v>
      </c>
      <c r="C573" s="3">
        <v>0.48</v>
      </c>
      <c r="E573" s="3">
        <f>STDEV(C571:C577)</f>
        <v>0.07798046153333826</v>
      </c>
      <c r="G573" s="3">
        <f t="shared" si="129"/>
        <v>-0.3187587626244128</v>
      </c>
      <c r="L573">
        <v>15</v>
      </c>
      <c r="M573">
        <v>40</v>
      </c>
      <c r="N573" s="3">
        <f t="shared" si="130"/>
        <v>0.6539264674066639</v>
      </c>
      <c r="P573" s="3">
        <f>STDEV(N571:N577)</f>
        <v>0.12839585164583173</v>
      </c>
      <c r="R573" s="3">
        <f t="shared" si="131"/>
        <v>-0.18447108438973517</v>
      </c>
    </row>
    <row r="574" spans="1:18" ht="12.75">
      <c r="A574">
        <f>A573+1</f>
        <v>16</v>
      </c>
      <c r="B574">
        <v>40</v>
      </c>
      <c r="C574" s="3">
        <v>0.395</v>
      </c>
      <c r="E574" t="s">
        <v>126</v>
      </c>
      <c r="F574" s="89" t="s">
        <v>323</v>
      </c>
      <c r="G574" s="3">
        <f t="shared" si="129"/>
        <v>-0.40340290437353976</v>
      </c>
      <c r="L574">
        <f>L573+1</f>
        <v>16</v>
      </c>
      <c r="M574">
        <v>40</v>
      </c>
      <c r="N574" s="3">
        <f t="shared" si="130"/>
        <v>0.5025268209512956</v>
      </c>
      <c r="P574" t="s">
        <v>126</v>
      </c>
      <c r="Q574" s="89" t="s">
        <v>323</v>
      </c>
      <c r="R574" s="3">
        <f t="shared" si="131"/>
        <v>-0.29884075404618615</v>
      </c>
    </row>
    <row r="575" spans="1:18" ht="12.75">
      <c r="A575">
        <v>20</v>
      </c>
      <c r="B575">
        <v>28</v>
      </c>
      <c r="C575" s="3">
        <v>0.4</v>
      </c>
      <c r="E575" s="3">
        <f>EXP(SQRT(LN(POWER(E573,2)/POWER(E571,2)+1)))</f>
        <v>1.2198248842139041</v>
      </c>
      <c r="F575" s="90">
        <f>F577/E577</f>
        <v>1.0383669259720008</v>
      </c>
      <c r="G575" s="3">
        <f t="shared" si="129"/>
        <v>-0.39794000867203755</v>
      </c>
      <c r="L575">
        <v>20</v>
      </c>
      <c r="M575">
        <v>28</v>
      </c>
      <c r="N575" s="3">
        <f t="shared" si="130"/>
        <v>0.5108256237659907</v>
      </c>
      <c r="P575" s="3">
        <f>EXP(SQRT(LN(POWER(P573,2)/POWER(P571,2)+1)))</f>
        <v>1.2881401415816445</v>
      </c>
      <c r="Q575" s="90">
        <f>Q577/P577</f>
        <v>1.045938123250325</v>
      </c>
      <c r="R575" s="3">
        <f t="shared" si="131"/>
        <v>-0.2917273260110778</v>
      </c>
    </row>
    <row r="576" spans="1:18" ht="12.75">
      <c r="A576">
        <f>A575+1</f>
        <v>21</v>
      </c>
      <c r="B576">
        <v>35</v>
      </c>
      <c r="C576" s="3">
        <v>0.295</v>
      </c>
      <c r="E576" t="s">
        <v>384</v>
      </c>
      <c r="F576" t="s">
        <v>384</v>
      </c>
      <c r="G576" s="3">
        <f t="shared" si="129"/>
        <v>-0.530177984021837</v>
      </c>
      <c r="L576">
        <f>L575+1</f>
        <v>21</v>
      </c>
      <c r="M576">
        <v>35</v>
      </c>
      <c r="N576" s="3">
        <f t="shared" si="130"/>
        <v>0.34955747616986826</v>
      </c>
      <c r="P576" t="s">
        <v>384</v>
      </c>
      <c r="Q576" t="s">
        <v>384</v>
      </c>
      <c r="R576" s="3">
        <f t="shared" si="131"/>
        <v>-0.4564814049507989</v>
      </c>
    </row>
    <row r="577" spans="1:18" ht="12.75">
      <c r="A577">
        <v>24</v>
      </c>
      <c r="B577">
        <v>35</v>
      </c>
      <c r="C577" s="3">
        <v>0.485</v>
      </c>
      <c r="E577" s="40">
        <f>LOG10(E575)</f>
        <v>0.08629748864338505</v>
      </c>
      <c r="F577" s="6">
        <f>STDEV(G571:G578)</f>
        <v>0.08960845800173538</v>
      </c>
      <c r="G577" s="3">
        <f t="shared" si="129"/>
        <v>-0.3142582613977364</v>
      </c>
      <c r="L577">
        <v>24</v>
      </c>
      <c r="M577">
        <v>35</v>
      </c>
      <c r="N577" s="3">
        <f t="shared" si="130"/>
        <v>0.6635883783184009</v>
      </c>
      <c r="P577" s="40">
        <f>LOG10(P575)</f>
        <v>0.10996311411442383</v>
      </c>
      <c r="Q577" s="94">
        <f>STDEV(R571:R578)</f>
        <v>0.1150146132036018</v>
      </c>
      <c r="R577" s="3">
        <f t="shared" si="131"/>
        <v>-0.17810122854940347</v>
      </c>
    </row>
    <row r="579" spans="1:12" ht="12.75">
      <c r="A579" s="58" t="s">
        <v>421</v>
      </c>
      <c r="L579" s="58" t="s">
        <v>421</v>
      </c>
    </row>
    <row r="580" spans="1:12" ht="12.75">
      <c r="A580" s="59" t="s">
        <v>203</v>
      </c>
      <c r="L580" s="59" t="s">
        <v>203</v>
      </c>
    </row>
    <row r="581" spans="1:18" ht="12.75">
      <c r="A581" t="s">
        <v>127</v>
      </c>
      <c r="B581" t="s">
        <v>509</v>
      </c>
      <c r="C581" t="s">
        <v>414</v>
      </c>
      <c r="D581" t="s">
        <v>519</v>
      </c>
      <c r="E581" t="s">
        <v>598</v>
      </c>
      <c r="G581" t="s">
        <v>207</v>
      </c>
      <c r="L581" t="s">
        <v>127</v>
      </c>
      <c r="M581" t="s">
        <v>509</v>
      </c>
      <c r="N581" t="s">
        <v>414</v>
      </c>
      <c r="O581" t="s">
        <v>519</v>
      </c>
      <c r="P581" t="s">
        <v>598</v>
      </c>
      <c r="R581" t="s">
        <v>207</v>
      </c>
    </row>
    <row r="582" spans="1:18" ht="12.75">
      <c r="A582">
        <v>5</v>
      </c>
      <c r="B582">
        <v>26</v>
      </c>
      <c r="C582" s="3">
        <v>0.4</v>
      </c>
      <c r="D582" s="60">
        <f>COUNT(C582:C588)</f>
        <v>7</v>
      </c>
      <c r="E582" s="3">
        <f>AVERAGE(C582:C588)</f>
        <v>0.42928571428571427</v>
      </c>
      <c r="G582" s="3">
        <f aca="true" t="shared" si="132" ref="G582:G588">LOG10(C582)</f>
        <v>-0.39794000867203755</v>
      </c>
      <c r="L582">
        <v>5</v>
      </c>
      <c r="M582">
        <v>26</v>
      </c>
      <c r="N582" s="3">
        <f aca="true" t="shared" si="133" ref="N582:N588">-LN(1-C582)</f>
        <v>0.5108256237659907</v>
      </c>
      <c r="O582" s="60">
        <f>COUNT(N582:N588)</f>
        <v>7</v>
      </c>
      <c r="P582" s="3">
        <f>AVERAGE(N582:N588)</f>
        <v>0.5692698433031388</v>
      </c>
      <c r="R582" s="3">
        <f aca="true" t="shared" si="134" ref="R582:R588">LOG10(N582)</f>
        <v>-0.2917273260110778</v>
      </c>
    </row>
    <row r="583" spans="1:18" ht="12.75">
      <c r="A583">
        <v>11</v>
      </c>
      <c r="B583">
        <v>27</v>
      </c>
      <c r="C583" s="3">
        <v>0.33</v>
      </c>
      <c r="E583" t="s">
        <v>431</v>
      </c>
      <c r="G583" s="3">
        <f t="shared" si="132"/>
        <v>-0.48148606012211254</v>
      </c>
      <c r="L583">
        <v>11</v>
      </c>
      <c r="M583">
        <v>27</v>
      </c>
      <c r="N583" s="3">
        <f t="shared" si="133"/>
        <v>0.4004775665971254</v>
      </c>
      <c r="P583" t="s">
        <v>431</v>
      </c>
      <c r="R583" s="3">
        <f t="shared" si="134"/>
        <v>-0.3974218066108305</v>
      </c>
    </row>
    <row r="584" spans="1:18" ht="12.75">
      <c r="A584">
        <v>15</v>
      </c>
      <c r="B584">
        <v>40</v>
      </c>
      <c r="C584" s="3">
        <v>0.56</v>
      </c>
      <c r="E584" s="3">
        <f>STDEV(C582:C588)</f>
        <v>0.07737509135312719</v>
      </c>
      <c r="G584" s="3">
        <f t="shared" si="132"/>
        <v>-0.25181197299379954</v>
      </c>
      <c r="L584">
        <v>15</v>
      </c>
      <c r="M584">
        <v>40</v>
      </c>
      <c r="N584" s="3">
        <f t="shared" si="133"/>
        <v>0.8209805520698303</v>
      </c>
      <c r="P584" s="3">
        <f>STDEV(N582:N588)</f>
        <v>0.142401370201378</v>
      </c>
      <c r="R584" s="3">
        <f t="shared" si="134"/>
        <v>-0.08566713061356175</v>
      </c>
    </row>
    <row r="585" spans="1:18" ht="12.75">
      <c r="A585">
        <f>A584+1</f>
        <v>16</v>
      </c>
      <c r="B585">
        <v>40</v>
      </c>
      <c r="C585" s="3">
        <v>0.42</v>
      </c>
      <c r="E585" t="s">
        <v>126</v>
      </c>
      <c r="F585" s="89" t="s">
        <v>323</v>
      </c>
      <c r="G585" s="3">
        <f t="shared" si="132"/>
        <v>-0.37675070960209955</v>
      </c>
      <c r="L585">
        <f>L584+1</f>
        <v>16</v>
      </c>
      <c r="M585">
        <v>40</v>
      </c>
      <c r="N585" s="3">
        <f t="shared" si="133"/>
        <v>0.5447271754416719</v>
      </c>
      <c r="P585" t="s">
        <v>126</v>
      </c>
      <c r="Q585" s="89" t="s">
        <v>323</v>
      </c>
      <c r="R585" s="3">
        <f t="shared" si="134"/>
        <v>-0.26382095802967165</v>
      </c>
    </row>
    <row r="586" spans="1:18" ht="12.75">
      <c r="A586">
        <v>20</v>
      </c>
      <c r="B586">
        <v>28</v>
      </c>
      <c r="C586" s="3">
        <v>0.42</v>
      </c>
      <c r="E586" s="3">
        <f>EXP(SQRT(LN(POWER(E584,2)/POWER(E582,2)+1)))</f>
        <v>1.1957849260347486</v>
      </c>
      <c r="F586" s="90">
        <f>F588/E588</f>
        <v>0.9848379760925606</v>
      </c>
      <c r="G586" s="3">
        <f t="shared" si="132"/>
        <v>-0.37675070960209955</v>
      </c>
      <c r="L586">
        <v>20</v>
      </c>
      <c r="M586">
        <v>28</v>
      </c>
      <c r="N586" s="3">
        <f t="shared" si="133"/>
        <v>0.5447271754416719</v>
      </c>
      <c r="P586" s="3">
        <f>EXP(SQRT(LN(POWER(P584,2)/POWER(P582,2)+1)))</f>
        <v>1.279362018403496</v>
      </c>
      <c r="Q586" s="90">
        <f>Q588/P588</f>
        <v>0.9724707729944377</v>
      </c>
      <c r="R586" s="3">
        <f t="shared" si="134"/>
        <v>-0.26382095802967165</v>
      </c>
    </row>
    <row r="587" spans="1:18" ht="12.75">
      <c r="A587">
        <f>A586+1</f>
        <v>21</v>
      </c>
      <c r="B587">
        <v>35</v>
      </c>
      <c r="C587" s="3">
        <v>0.375</v>
      </c>
      <c r="E587" t="s">
        <v>384</v>
      </c>
      <c r="F587" t="s">
        <v>384</v>
      </c>
      <c r="G587" s="3">
        <f t="shared" si="132"/>
        <v>-0.4259687322722811</v>
      </c>
      <c r="L587">
        <f>L586+1</f>
        <v>21</v>
      </c>
      <c r="M587">
        <v>35</v>
      </c>
      <c r="N587" s="3">
        <f t="shared" si="133"/>
        <v>0.4700036292457356</v>
      </c>
      <c r="P587" t="s">
        <v>384</v>
      </c>
      <c r="Q587" t="s">
        <v>384</v>
      </c>
      <c r="R587" s="3">
        <f t="shared" si="134"/>
        <v>-0.3278987885423441</v>
      </c>
    </row>
    <row r="588" spans="1:18" ht="12.75">
      <c r="A588">
        <v>24</v>
      </c>
      <c r="B588">
        <v>35</v>
      </c>
      <c r="C588" s="3">
        <v>0.5</v>
      </c>
      <c r="E588" s="40">
        <f>LOG10(E586)</f>
        <v>0.07765307443854545</v>
      </c>
      <c r="F588" s="94">
        <f>STDEV(G582:G589)</f>
        <v>0.07647569666742206</v>
      </c>
      <c r="G588" s="3">
        <f t="shared" si="132"/>
        <v>-0.3010299956639812</v>
      </c>
      <c r="L588">
        <v>24</v>
      </c>
      <c r="M588">
        <v>35</v>
      </c>
      <c r="N588" s="3">
        <f t="shared" si="133"/>
        <v>0.6931471805599453</v>
      </c>
      <c r="P588" s="40">
        <f>LOG10(P586)</f>
        <v>0.10699345327334688</v>
      </c>
      <c r="Q588" s="94">
        <f>STDEV(R582:R589)</f>
        <v>0.10404800621007589</v>
      </c>
      <c r="R588" s="3">
        <f t="shared" si="134"/>
        <v>-0.1591745389548616</v>
      </c>
    </row>
    <row r="590" spans="1:12" ht="12.75">
      <c r="A590" s="58" t="s">
        <v>421</v>
      </c>
      <c r="L590" s="58" t="s">
        <v>421</v>
      </c>
    </row>
    <row r="591" spans="1:12" ht="12.75">
      <c r="A591" s="59" t="s">
        <v>204</v>
      </c>
      <c r="L591" s="59" t="s">
        <v>204</v>
      </c>
    </row>
    <row r="592" spans="1:18" ht="12.75">
      <c r="A592" t="s">
        <v>127</v>
      </c>
      <c r="B592" t="s">
        <v>509</v>
      </c>
      <c r="C592" t="s">
        <v>414</v>
      </c>
      <c r="D592" t="s">
        <v>519</v>
      </c>
      <c r="E592" t="s">
        <v>598</v>
      </c>
      <c r="G592" t="s">
        <v>207</v>
      </c>
      <c r="L592" t="s">
        <v>127</v>
      </c>
      <c r="M592" t="s">
        <v>509</v>
      </c>
      <c r="N592" t="s">
        <v>414</v>
      </c>
      <c r="O592" t="s">
        <v>519</v>
      </c>
      <c r="P592" t="s">
        <v>598</v>
      </c>
      <c r="R592" t="s">
        <v>207</v>
      </c>
    </row>
    <row r="593" spans="1:18" ht="12.75">
      <c r="A593">
        <v>5</v>
      </c>
      <c r="B593">
        <v>26</v>
      </c>
      <c r="C593" s="3">
        <v>0.34</v>
      </c>
      <c r="D593" s="60">
        <f>COUNT(C593:C599)</f>
        <v>7</v>
      </c>
      <c r="E593" s="3">
        <f>AVERAGE(C593:C599)</f>
        <v>0.3114285714285714</v>
      </c>
      <c r="G593" s="3">
        <f aca="true" t="shared" si="135" ref="G593:G599">LOG10(C593)</f>
        <v>-0.46852108295774486</v>
      </c>
      <c r="L593">
        <v>5</v>
      </c>
      <c r="M593">
        <v>26</v>
      </c>
      <c r="N593" s="3">
        <f aca="true" t="shared" si="136" ref="N593:N599">-LN(1-C593)</f>
        <v>0.4155154439616659</v>
      </c>
      <c r="O593" s="60">
        <f>COUNT(N593:N599)</f>
        <v>7</v>
      </c>
      <c r="P593" s="3">
        <f>AVERAGE(N593:N599)</f>
        <v>0.37947571222391957</v>
      </c>
      <c r="R593" s="3">
        <f aca="true" t="shared" si="137" ref="R593:R599">LOG10(N593)</f>
        <v>-0.38141282963515083</v>
      </c>
    </row>
    <row r="594" spans="1:18" ht="12.75">
      <c r="A594">
        <v>11</v>
      </c>
      <c r="B594">
        <v>27</v>
      </c>
      <c r="C594" s="3">
        <v>0.295</v>
      </c>
      <c r="E594" t="s">
        <v>431</v>
      </c>
      <c r="G594" s="3">
        <f t="shared" si="135"/>
        <v>-0.530177984021837</v>
      </c>
      <c r="L594">
        <v>11</v>
      </c>
      <c r="M594">
        <v>27</v>
      </c>
      <c r="N594" s="3">
        <f t="shared" si="136"/>
        <v>0.34955747616986826</v>
      </c>
      <c r="P594" t="s">
        <v>431</v>
      </c>
      <c r="R594" s="3">
        <f t="shared" si="137"/>
        <v>-0.4564814049507989</v>
      </c>
    </row>
    <row r="595" spans="1:18" ht="12.75">
      <c r="A595">
        <v>15</v>
      </c>
      <c r="B595">
        <v>40</v>
      </c>
      <c r="C595" s="3">
        <v>0.43</v>
      </c>
      <c r="E595" s="3">
        <f>STDEV(C593:C599)</f>
        <v>0.08249819622847765</v>
      </c>
      <c r="G595" s="3">
        <f t="shared" si="135"/>
        <v>-0.36653154442041347</v>
      </c>
      <c r="L595">
        <v>15</v>
      </c>
      <c r="M595">
        <v>40</v>
      </c>
      <c r="N595" s="3">
        <f t="shared" si="136"/>
        <v>0.5621189181535411</v>
      </c>
      <c r="P595" s="3">
        <f>STDEV(N593:N599)</f>
        <v>0.12255513368753834</v>
      </c>
      <c r="R595" s="3">
        <f t="shared" si="137"/>
        <v>-0.2501717982483658</v>
      </c>
    </row>
    <row r="596" spans="1:18" ht="12.75">
      <c r="A596">
        <f>A595+1</f>
        <v>16</v>
      </c>
      <c r="B596">
        <v>40</v>
      </c>
      <c r="C596" s="3">
        <v>0.235</v>
      </c>
      <c r="E596" t="s">
        <v>126</v>
      </c>
      <c r="F596" s="89" t="s">
        <v>323</v>
      </c>
      <c r="G596" s="3">
        <f t="shared" si="135"/>
        <v>-0.6289321377282637</v>
      </c>
      <c r="L596">
        <f>L595+1</f>
        <v>16</v>
      </c>
      <c r="M596">
        <v>40</v>
      </c>
      <c r="N596" s="3">
        <f t="shared" si="136"/>
        <v>0.2678794451556012</v>
      </c>
      <c r="P596" t="s">
        <v>126</v>
      </c>
      <c r="Q596" s="89" t="s">
        <v>323</v>
      </c>
      <c r="R596" s="3">
        <f t="shared" si="137"/>
        <v>-0.5720606092659098</v>
      </c>
    </row>
    <row r="597" spans="1:18" ht="12.75">
      <c r="A597">
        <v>20</v>
      </c>
      <c r="B597">
        <v>28</v>
      </c>
      <c r="C597" s="3">
        <v>0.27</v>
      </c>
      <c r="E597" s="3">
        <f>EXP(SQRT(LN(POWER(E595,2)/POWER(E593,2)+1)))</f>
        <v>1.2974799847692844</v>
      </c>
      <c r="F597" s="90">
        <f>F599/E599</f>
        <v>1.023059337978569</v>
      </c>
      <c r="G597" s="3">
        <f t="shared" si="135"/>
        <v>-0.5686362358410126</v>
      </c>
      <c r="L597">
        <v>20</v>
      </c>
      <c r="M597">
        <v>28</v>
      </c>
      <c r="N597" s="3">
        <f t="shared" si="136"/>
        <v>0.31471074483970024</v>
      </c>
      <c r="P597" s="3">
        <f>EXP(SQRT(LN(POWER(P595,2)/POWER(P593,2)+1)))</f>
        <v>1.370235353578138</v>
      </c>
      <c r="Q597" s="90">
        <f>Q599/P599</f>
        <v>1.0260864127801892</v>
      </c>
      <c r="R597" s="3">
        <f t="shared" si="137"/>
        <v>-0.5020884291715288</v>
      </c>
    </row>
    <row r="598" spans="1:18" ht="12.75">
      <c r="A598">
        <f>A597+1</f>
        <v>21</v>
      </c>
      <c r="B598">
        <v>35</v>
      </c>
      <c r="C598" s="3">
        <v>0.21</v>
      </c>
      <c r="E598" t="s">
        <v>384</v>
      </c>
      <c r="F598" t="s">
        <v>384</v>
      </c>
      <c r="G598" s="3">
        <f t="shared" si="135"/>
        <v>-0.6777807052660807</v>
      </c>
      <c r="L598">
        <f>L597+1</f>
        <v>21</v>
      </c>
      <c r="M598">
        <v>35</v>
      </c>
      <c r="N598" s="3">
        <f t="shared" si="136"/>
        <v>0.23572233352106983</v>
      </c>
      <c r="P598" t="s">
        <v>384</v>
      </c>
      <c r="Q598" t="s">
        <v>384</v>
      </c>
      <c r="R598" s="3">
        <f t="shared" si="137"/>
        <v>-0.6275992682798079</v>
      </c>
    </row>
    <row r="599" spans="1:18" ht="12.75">
      <c r="A599">
        <v>24</v>
      </c>
      <c r="B599">
        <v>35</v>
      </c>
      <c r="C599" s="3">
        <v>0.4</v>
      </c>
      <c r="E599" s="40">
        <f>LOG10(E597)</f>
        <v>0.11310066704357848</v>
      </c>
      <c r="F599" s="6">
        <f>STDEV(G593:G600)</f>
        <v>0.11570869355053795</v>
      </c>
      <c r="G599" s="3">
        <f t="shared" si="135"/>
        <v>-0.39794000867203755</v>
      </c>
      <c r="L599">
        <v>24</v>
      </c>
      <c r="M599">
        <v>35</v>
      </c>
      <c r="N599" s="3">
        <f t="shared" si="136"/>
        <v>0.5108256237659907</v>
      </c>
      <c r="P599" s="40">
        <f>LOG10(P597)</f>
        <v>0.13679516860288427</v>
      </c>
      <c r="Q599" s="94">
        <f>STDEV(R593:R600)</f>
        <v>0.14036366383739468</v>
      </c>
      <c r="R599" s="3">
        <f t="shared" si="137"/>
        <v>-0.2917273260110778</v>
      </c>
    </row>
    <row r="601" spans="1:12" ht="12.75">
      <c r="A601" s="58" t="s">
        <v>421</v>
      </c>
      <c r="L601" s="58" t="s">
        <v>421</v>
      </c>
    </row>
    <row r="602" spans="1:12" ht="12.75">
      <c r="A602" s="59" t="s">
        <v>565</v>
      </c>
      <c r="L602" s="59" t="s">
        <v>565</v>
      </c>
    </row>
    <row r="603" spans="1:18" ht="12.75">
      <c r="A603" t="s">
        <v>127</v>
      </c>
      <c r="B603" t="s">
        <v>509</v>
      </c>
      <c r="C603" t="s">
        <v>414</v>
      </c>
      <c r="D603" t="s">
        <v>519</v>
      </c>
      <c r="E603" t="s">
        <v>598</v>
      </c>
      <c r="G603" t="s">
        <v>207</v>
      </c>
      <c r="L603" t="s">
        <v>127</v>
      </c>
      <c r="M603" t="s">
        <v>509</v>
      </c>
      <c r="N603" t="s">
        <v>414</v>
      </c>
      <c r="O603" t="s">
        <v>519</v>
      </c>
      <c r="P603" t="s">
        <v>598</v>
      </c>
      <c r="R603" t="s">
        <v>207</v>
      </c>
    </row>
    <row r="604" spans="1:18" ht="12.75">
      <c r="A604">
        <v>5</v>
      </c>
      <c r="B604">
        <v>26</v>
      </c>
      <c r="C604" s="3">
        <v>0.4</v>
      </c>
      <c r="D604" s="60">
        <f>COUNT(C604:C610)</f>
        <v>7</v>
      </c>
      <c r="E604" s="3">
        <f>AVERAGE(C604:C610)</f>
        <v>0.4064285714285714</v>
      </c>
      <c r="G604" s="3">
        <f aca="true" t="shared" si="138" ref="G604:G610">LOG10(C604)</f>
        <v>-0.39794000867203755</v>
      </c>
      <c r="L604">
        <v>5</v>
      </c>
      <c r="M604">
        <v>26</v>
      </c>
      <c r="N604" s="3">
        <f aca="true" t="shared" si="139" ref="N604:N610">-LN(1-C604)</f>
        <v>0.5108256237659907</v>
      </c>
      <c r="O604" s="60">
        <f>COUNT(N604:N610)</f>
        <v>7</v>
      </c>
      <c r="P604" s="3">
        <f>AVERAGE(N604:N610)</f>
        <v>0.533055880365873</v>
      </c>
      <c r="R604" s="3">
        <f aca="true" t="shared" si="140" ref="R604:R610">LOG10(N604)</f>
        <v>-0.2917273260110778</v>
      </c>
    </row>
    <row r="605" spans="1:18" ht="12.75">
      <c r="A605">
        <v>11</v>
      </c>
      <c r="B605">
        <v>27</v>
      </c>
      <c r="C605" s="3">
        <v>0.325</v>
      </c>
      <c r="E605" t="s">
        <v>431</v>
      </c>
      <c r="G605" s="3">
        <f t="shared" si="138"/>
        <v>-0.48811663902112556</v>
      </c>
      <c r="L605">
        <v>11</v>
      </c>
      <c r="M605">
        <v>27</v>
      </c>
      <c r="N605" s="3">
        <f t="shared" si="139"/>
        <v>0.3930425881096072</v>
      </c>
      <c r="P605" t="s">
        <v>431</v>
      </c>
      <c r="R605" s="3">
        <f t="shared" si="140"/>
        <v>-0.40556038911845066</v>
      </c>
    </row>
    <row r="606" spans="1:18" ht="12.75">
      <c r="A606">
        <v>15</v>
      </c>
      <c r="B606">
        <v>40</v>
      </c>
      <c r="C606" s="3">
        <v>0.545</v>
      </c>
      <c r="E606" s="3">
        <f>STDEV(C604:C610)</f>
        <v>0.0954251139949671</v>
      </c>
      <c r="G606" s="3">
        <f t="shared" si="138"/>
        <v>-0.2636034977233575</v>
      </c>
      <c r="L606">
        <v>15</v>
      </c>
      <c r="M606">
        <v>40</v>
      </c>
      <c r="N606" s="3">
        <f t="shared" si="139"/>
        <v>0.7874578600311867</v>
      </c>
      <c r="P606" s="3">
        <f>STDEV(N604:N610)</f>
        <v>0.16495234398358258</v>
      </c>
      <c r="R606" s="3">
        <f t="shared" si="140"/>
        <v>-0.10377267772324811</v>
      </c>
    </row>
    <row r="607" spans="1:18" ht="12.75">
      <c r="A607">
        <f>A606+1</f>
        <v>16</v>
      </c>
      <c r="B607">
        <v>40</v>
      </c>
      <c r="C607" s="3">
        <v>0.485</v>
      </c>
      <c r="E607" t="s">
        <v>126</v>
      </c>
      <c r="F607" s="89" t="s">
        <v>323</v>
      </c>
      <c r="G607" s="3">
        <f t="shared" si="138"/>
        <v>-0.3142582613977364</v>
      </c>
      <c r="L607">
        <f>L606+1</f>
        <v>16</v>
      </c>
      <c r="M607">
        <v>40</v>
      </c>
      <c r="N607" s="3">
        <f t="shared" si="139"/>
        <v>0.6635883783184009</v>
      </c>
      <c r="P607" t="s">
        <v>126</v>
      </c>
      <c r="Q607" s="89" t="s">
        <v>323</v>
      </c>
      <c r="R607" s="3">
        <f t="shared" si="140"/>
        <v>-0.17810122854940347</v>
      </c>
    </row>
    <row r="608" spans="1:18" ht="12.75">
      <c r="A608">
        <v>20</v>
      </c>
      <c r="B608">
        <v>28</v>
      </c>
      <c r="C608" s="3">
        <v>0.34</v>
      </c>
      <c r="E608" s="2">
        <f>EXP(SQRT(LN(POWER(E606,2)/POWER(E604,2)+1)))</f>
        <v>1.2606743886352607</v>
      </c>
      <c r="F608" s="90">
        <f>F610/E610</f>
        <v>1.0268047156032856</v>
      </c>
      <c r="G608" s="3">
        <f t="shared" si="138"/>
        <v>-0.46852108295774486</v>
      </c>
      <c r="L608">
        <v>20</v>
      </c>
      <c r="M608">
        <v>28</v>
      </c>
      <c r="N608" s="3">
        <f t="shared" si="139"/>
        <v>0.4155154439616659</v>
      </c>
      <c r="P608" s="2">
        <f>EXP(SQRT(LN(POWER(P606,2)/POWER(P604,2)+1)))</f>
        <v>1.3531021011964</v>
      </c>
      <c r="Q608" s="90">
        <f>Q610/P610</f>
        <v>1.0324927091639784</v>
      </c>
      <c r="R608" s="3">
        <f t="shared" si="140"/>
        <v>-0.38141282963515083</v>
      </c>
    </row>
    <row r="609" spans="1:18" ht="12.75">
      <c r="A609">
        <f>A608+1</f>
        <v>21</v>
      </c>
      <c r="B609">
        <v>35</v>
      </c>
      <c r="C609" s="3">
        <v>0.285</v>
      </c>
      <c r="E609" t="s">
        <v>384</v>
      </c>
      <c r="F609" t="s">
        <v>384</v>
      </c>
      <c r="G609" s="3">
        <f t="shared" si="138"/>
        <v>-0.5451551399914898</v>
      </c>
      <c r="L609">
        <f>L608+1</f>
        <v>21</v>
      </c>
      <c r="M609">
        <v>35</v>
      </c>
      <c r="N609" s="3">
        <f t="shared" si="139"/>
        <v>0.3354727362881293</v>
      </c>
      <c r="P609" t="s">
        <v>384</v>
      </c>
      <c r="Q609" t="s">
        <v>384</v>
      </c>
      <c r="R609" s="3">
        <f t="shared" si="140"/>
        <v>-0.4743427689696351</v>
      </c>
    </row>
    <row r="610" spans="1:18" ht="12.75">
      <c r="A610">
        <v>24</v>
      </c>
      <c r="B610">
        <v>35</v>
      </c>
      <c r="C610" s="3">
        <v>0.465</v>
      </c>
      <c r="E610" s="40">
        <f>LOG10(E608)</f>
        <v>0.10060292996763366</v>
      </c>
      <c r="F610" s="6">
        <f>STDEV(G604:G611)</f>
        <v>0.10329956289427335</v>
      </c>
      <c r="G610" s="3">
        <f t="shared" si="138"/>
        <v>-0.33254704711004607</v>
      </c>
      <c r="L610">
        <v>24</v>
      </c>
      <c r="M610">
        <v>35</v>
      </c>
      <c r="N610" s="3">
        <f t="shared" si="139"/>
        <v>0.6254885320861306</v>
      </c>
      <c r="P610" s="40">
        <f>LOG10(P608)</f>
        <v>0.13133056844772698</v>
      </c>
      <c r="Q610" s="94">
        <f>STDEV(R604:R611)</f>
        <v>0.1355978544126389</v>
      </c>
      <c r="R610" s="3">
        <f t="shared" si="140"/>
        <v>-0.20378064839641052</v>
      </c>
    </row>
    <row r="612" spans="1:12" ht="12.75">
      <c r="A612" s="58" t="s">
        <v>421</v>
      </c>
      <c r="L612" s="58" t="s">
        <v>421</v>
      </c>
    </row>
    <row r="613" spans="1:12" ht="12.75">
      <c r="A613" s="59" t="s">
        <v>191</v>
      </c>
      <c r="L613" s="59" t="s">
        <v>191</v>
      </c>
    </row>
    <row r="614" spans="1:18" ht="12.75">
      <c r="A614" t="s">
        <v>127</v>
      </c>
      <c r="B614" t="s">
        <v>509</v>
      </c>
      <c r="C614" t="s">
        <v>414</v>
      </c>
      <c r="D614" t="s">
        <v>519</v>
      </c>
      <c r="E614" t="s">
        <v>598</v>
      </c>
      <c r="G614" t="s">
        <v>207</v>
      </c>
      <c r="L614" t="s">
        <v>127</v>
      </c>
      <c r="M614" t="s">
        <v>509</v>
      </c>
      <c r="N614" t="s">
        <v>414</v>
      </c>
      <c r="O614" t="s">
        <v>519</v>
      </c>
      <c r="P614" t="s">
        <v>598</v>
      </c>
      <c r="R614" t="s">
        <v>207</v>
      </c>
    </row>
    <row r="615" spans="1:18" ht="12.75">
      <c r="A615">
        <v>5</v>
      </c>
      <c r="B615">
        <v>26</v>
      </c>
      <c r="C615" s="3">
        <v>0.485</v>
      </c>
      <c r="D615" s="60">
        <f>COUNT(C615:C621)</f>
        <v>7</v>
      </c>
      <c r="E615" s="3">
        <f>AVERAGE(C615:C621)</f>
        <v>0.47928571428571437</v>
      </c>
      <c r="G615" s="3">
        <f aca="true" t="shared" si="141" ref="G615:G621">LOG10(C615)</f>
        <v>-0.3142582613977364</v>
      </c>
      <c r="L615">
        <v>5</v>
      </c>
      <c r="M615">
        <v>26</v>
      </c>
      <c r="N615" s="3">
        <f aca="true" t="shared" si="142" ref="N615:N621">-LN(1-C615)</f>
        <v>0.6635883783184009</v>
      </c>
      <c r="O615" s="60">
        <f>COUNT(N615:N621)</f>
        <v>7</v>
      </c>
      <c r="P615" s="3">
        <f>AVERAGE(N615:N621)</f>
        <v>0.6659794631552389</v>
      </c>
      <c r="R615" s="3">
        <f aca="true" t="shared" si="143" ref="R615:R621">LOG10(N615)</f>
        <v>-0.17810122854940347</v>
      </c>
    </row>
    <row r="616" spans="1:18" ht="12.75">
      <c r="A616">
        <v>11</v>
      </c>
      <c r="B616">
        <v>27</v>
      </c>
      <c r="C616" s="3">
        <v>0.45</v>
      </c>
      <c r="E616" t="s">
        <v>431</v>
      </c>
      <c r="G616" s="3">
        <f t="shared" si="141"/>
        <v>-0.3467874862246563</v>
      </c>
      <c r="L616">
        <v>11</v>
      </c>
      <c r="M616">
        <v>27</v>
      </c>
      <c r="N616" s="3">
        <f t="shared" si="142"/>
        <v>0.5978370007556204</v>
      </c>
      <c r="P616" t="s">
        <v>431</v>
      </c>
      <c r="R616" s="3">
        <f t="shared" si="143"/>
        <v>-0.2234172095263945</v>
      </c>
    </row>
    <row r="617" spans="1:18" ht="12.75">
      <c r="A617">
        <v>15</v>
      </c>
      <c r="B617">
        <v>40</v>
      </c>
      <c r="C617" s="3">
        <v>0.62</v>
      </c>
      <c r="E617" s="3">
        <f>STDEV(C615:C621)</f>
        <v>0.09015859043136919</v>
      </c>
      <c r="G617" s="3">
        <f t="shared" si="141"/>
        <v>-0.2076083105017461</v>
      </c>
      <c r="L617">
        <v>15</v>
      </c>
      <c r="M617">
        <v>40</v>
      </c>
      <c r="N617" s="3">
        <f t="shared" si="142"/>
        <v>0.9675840262617055</v>
      </c>
      <c r="P617" s="3">
        <f>STDEV(N615:N621)</f>
        <v>0.17917173654774415</v>
      </c>
      <c r="R617" s="3">
        <f t="shared" si="143"/>
        <v>-0.014311309970823463</v>
      </c>
    </row>
    <row r="618" spans="1:18" ht="12.75">
      <c r="A618">
        <f>A617+1</f>
        <v>16</v>
      </c>
      <c r="B618">
        <v>40</v>
      </c>
      <c r="C618" s="3">
        <v>0.51</v>
      </c>
      <c r="E618" t="s">
        <v>126</v>
      </c>
      <c r="F618" s="89" t="s">
        <v>323</v>
      </c>
      <c r="G618" s="3">
        <f t="shared" si="141"/>
        <v>-0.2924298239020636</v>
      </c>
      <c r="L618">
        <f>L617+1</f>
        <v>16</v>
      </c>
      <c r="M618">
        <v>40</v>
      </c>
      <c r="N618" s="3">
        <f t="shared" si="142"/>
        <v>0.7133498878774648</v>
      </c>
      <c r="P618" t="s">
        <v>126</v>
      </c>
      <c r="Q618" s="89" t="s">
        <v>323</v>
      </c>
      <c r="R618" s="3">
        <f t="shared" si="143"/>
        <v>-0.1466974026829814</v>
      </c>
    </row>
    <row r="619" spans="1:18" ht="12.75">
      <c r="A619">
        <v>20</v>
      </c>
      <c r="B619">
        <v>28</v>
      </c>
      <c r="C619" s="3">
        <v>0.375</v>
      </c>
      <c r="E619" s="2">
        <f>EXP(SQRT(LN(POWER(E617,2)/POWER(E615,2)+1)))</f>
        <v>1.2049973700800736</v>
      </c>
      <c r="F619" s="90">
        <f>F621/E621</f>
        <v>1.018148815604131</v>
      </c>
      <c r="G619" s="3">
        <f t="shared" si="141"/>
        <v>-0.4259687322722811</v>
      </c>
      <c r="L619">
        <v>20</v>
      </c>
      <c r="M619">
        <v>28</v>
      </c>
      <c r="N619" s="3">
        <f t="shared" si="142"/>
        <v>0.4700036292457356</v>
      </c>
      <c r="P619" s="2">
        <f>EXP(SQRT(LN(POWER(P617,2)/POWER(P615,2)+1)))</f>
        <v>1.3025824469862164</v>
      </c>
      <c r="Q619" s="90">
        <f>Q621/P621</f>
        <v>1.015614710003128</v>
      </c>
      <c r="R619" s="3">
        <f t="shared" si="143"/>
        <v>-0.3278987885423441</v>
      </c>
    </row>
    <row r="620" spans="1:18" ht="12.75">
      <c r="A620">
        <f>A619+1</f>
        <v>21</v>
      </c>
      <c r="B620">
        <v>35</v>
      </c>
      <c r="C620" s="3">
        <v>0.37</v>
      </c>
      <c r="E620" t="s">
        <v>384</v>
      </c>
      <c r="F620" t="s">
        <v>384</v>
      </c>
      <c r="G620" s="3">
        <f t="shared" si="141"/>
        <v>-0.431798275933005</v>
      </c>
      <c r="L620">
        <f>L619+1</f>
        <v>21</v>
      </c>
      <c r="M620">
        <v>35</v>
      </c>
      <c r="N620" s="3">
        <f t="shared" si="142"/>
        <v>0.4620354595965587</v>
      </c>
      <c r="P620" t="s">
        <v>384</v>
      </c>
      <c r="Q620" t="s">
        <v>384</v>
      </c>
      <c r="R620" s="3">
        <f t="shared" si="143"/>
        <v>-0.33532469259072195</v>
      </c>
    </row>
    <row r="621" spans="1:18" ht="12.75">
      <c r="A621">
        <v>24</v>
      </c>
      <c r="B621">
        <v>35</v>
      </c>
      <c r="C621" s="3">
        <v>0.545</v>
      </c>
      <c r="E621" s="40">
        <f>LOG10(E619)</f>
        <v>0.08098609905946952</v>
      </c>
      <c r="F621" s="6">
        <f>STDEV(G615:G622)</f>
        <v>0.08245590083779772</v>
      </c>
      <c r="G621" s="3">
        <f t="shared" si="141"/>
        <v>-0.2636034977233575</v>
      </c>
      <c r="L621">
        <v>24</v>
      </c>
      <c r="M621">
        <v>35</v>
      </c>
      <c r="N621" s="3">
        <f t="shared" si="142"/>
        <v>0.7874578600311867</v>
      </c>
      <c r="P621" s="40">
        <f>LOG10(P619)</f>
        <v>0.11480522152085962</v>
      </c>
      <c r="Q621" s="94">
        <f>STDEV(R615:R622)</f>
        <v>0.11659787176175271</v>
      </c>
      <c r="R621" s="3">
        <f t="shared" si="143"/>
        <v>-0.10377267772324811</v>
      </c>
    </row>
    <row r="623" spans="1:12" ht="12.75">
      <c r="A623" s="58" t="s">
        <v>421</v>
      </c>
      <c r="L623" s="58" t="s">
        <v>421</v>
      </c>
    </row>
    <row r="624" spans="1:12" ht="12.75">
      <c r="A624" s="59" t="s">
        <v>502</v>
      </c>
      <c r="L624" s="59" t="s">
        <v>502</v>
      </c>
    </row>
    <row r="625" spans="1:18" ht="12.75">
      <c r="A625" t="s">
        <v>127</v>
      </c>
      <c r="B625" t="s">
        <v>509</v>
      </c>
      <c r="C625" t="s">
        <v>414</v>
      </c>
      <c r="D625" t="s">
        <v>519</v>
      </c>
      <c r="E625" t="s">
        <v>598</v>
      </c>
      <c r="G625" t="s">
        <v>207</v>
      </c>
      <c r="L625" t="s">
        <v>127</v>
      </c>
      <c r="M625" t="s">
        <v>509</v>
      </c>
      <c r="N625" t="s">
        <v>414</v>
      </c>
      <c r="O625" t="s">
        <v>519</v>
      </c>
      <c r="P625" t="s">
        <v>598</v>
      </c>
      <c r="R625" t="s">
        <v>207</v>
      </c>
    </row>
    <row r="626" spans="1:18" ht="12.75">
      <c r="A626">
        <v>5</v>
      </c>
      <c r="B626">
        <v>26</v>
      </c>
      <c r="C626" s="3">
        <v>0.36</v>
      </c>
      <c r="D626" s="60">
        <f>COUNT(C626:C632)</f>
        <v>7</v>
      </c>
      <c r="E626" s="3">
        <f>AVERAGE(C626:C632)</f>
        <v>0.31642857142857145</v>
      </c>
      <c r="G626" s="3">
        <f aca="true" t="shared" si="144" ref="G626:G632">LOG10(C626)</f>
        <v>-0.44369749923271273</v>
      </c>
      <c r="L626">
        <v>5</v>
      </c>
      <c r="M626">
        <v>26</v>
      </c>
      <c r="N626" s="3">
        <f aca="true" t="shared" si="145" ref="N626:N632">-LN(1-C626)</f>
        <v>0.44628710262841953</v>
      </c>
      <c r="O626" s="60">
        <f>COUNT(N626:N632)</f>
        <v>7</v>
      </c>
      <c r="P626" s="3">
        <f>AVERAGE(N626:N632)</f>
        <v>0.38690423259118684</v>
      </c>
      <c r="R626" s="3">
        <f aca="true" t="shared" si="146" ref="R626:R632">LOG10(N626)</f>
        <v>-0.350385663771713</v>
      </c>
    </row>
    <row r="627" spans="1:18" ht="12.75">
      <c r="A627">
        <v>11</v>
      </c>
      <c r="B627">
        <v>27</v>
      </c>
      <c r="C627" s="3">
        <v>0.25</v>
      </c>
      <c r="E627" t="s">
        <v>431</v>
      </c>
      <c r="G627" s="3">
        <f t="shared" si="144"/>
        <v>-0.6020599913279624</v>
      </c>
      <c r="L627">
        <v>11</v>
      </c>
      <c r="M627">
        <v>27</v>
      </c>
      <c r="N627" s="3">
        <f t="shared" si="145"/>
        <v>0.2876820724517809</v>
      </c>
      <c r="P627" t="s">
        <v>431</v>
      </c>
      <c r="R627" s="3">
        <f t="shared" si="146"/>
        <v>-0.5410872012930469</v>
      </c>
    </row>
    <row r="628" spans="1:18" ht="12.75">
      <c r="A628">
        <v>15</v>
      </c>
      <c r="B628">
        <v>40</v>
      </c>
      <c r="C628" s="3">
        <v>0.45</v>
      </c>
      <c r="E628" s="3">
        <f>STDEV(C626:C632)</f>
        <v>0.08209315266382264</v>
      </c>
      <c r="G628" s="3">
        <f t="shared" si="144"/>
        <v>-0.3467874862246563</v>
      </c>
      <c r="L628">
        <v>15</v>
      </c>
      <c r="M628">
        <v>40</v>
      </c>
      <c r="N628" s="3">
        <f t="shared" si="145"/>
        <v>0.5978370007556204</v>
      </c>
      <c r="P628" s="3">
        <f>STDEV(N626:N632)</f>
        <v>0.12445227358522055</v>
      </c>
      <c r="R628" s="3">
        <f t="shared" si="146"/>
        <v>-0.2234172095263945</v>
      </c>
    </row>
    <row r="629" spans="1:18" ht="12.75">
      <c r="A629">
        <f>A628+1</f>
        <v>16</v>
      </c>
      <c r="B629">
        <v>40</v>
      </c>
      <c r="C629" s="3">
        <v>0.29</v>
      </c>
      <c r="E629" t="s">
        <v>126</v>
      </c>
      <c r="F629" s="89" t="s">
        <v>323</v>
      </c>
      <c r="G629" s="3">
        <f t="shared" si="144"/>
        <v>-0.5376020021010439</v>
      </c>
      <c r="L629">
        <f>L628+1</f>
        <v>16</v>
      </c>
      <c r="M629">
        <v>40</v>
      </c>
      <c r="N629" s="3">
        <f t="shared" si="145"/>
        <v>0.342490308946776</v>
      </c>
      <c r="P629" t="s">
        <v>126</v>
      </c>
      <c r="Q629" s="89" t="s">
        <v>323</v>
      </c>
      <c r="R629" s="3">
        <f t="shared" si="146"/>
        <v>-0.46535171272771275</v>
      </c>
    </row>
    <row r="630" spans="1:18" ht="12.75">
      <c r="A630">
        <v>20</v>
      </c>
      <c r="B630">
        <v>28</v>
      </c>
      <c r="C630" s="3">
        <v>0.26</v>
      </c>
      <c r="E630" s="3">
        <f>EXP(SQRT(LN(POWER(E628,2)/POWER(E626,2)+1)))</f>
        <v>1.2907499344181872</v>
      </c>
      <c r="F630" s="90">
        <f>F632/E632</f>
        <v>0.994656119181919</v>
      </c>
      <c r="G630" s="3">
        <f t="shared" si="144"/>
        <v>-0.585026652029182</v>
      </c>
      <c r="L630">
        <v>20</v>
      </c>
      <c r="M630">
        <v>28</v>
      </c>
      <c r="N630" s="3">
        <f t="shared" si="145"/>
        <v>0.30110509278392167</v>
      </c>
      <c r="P630" s="3">
        <f>EXP(SQRT(LN(POWER(P628,2)/POWER(P626,2)+1)))</f>
        <v>1.3685852843759743</v>
      </c>
      <c r="Q630" s="90">
        <f>Q632/P632</f>
        <v>0.9922213369136542</v>
      </c>
      <c r="R630" s="3">
        <f t="shared" si="146"/>
        <v>-0.5212818989234742</v>
      </c>
    </row>
    <row r="631" spans="1:18" ht="12.75">
      <c r="A631">
        <f>A630+1</f>
        <v>21</v>
      </c>
      <c r="B631">
        <v>35</v>
      </c>
      <c r="C631" s="3">
        <v>0.225</v>
      </c>
      <c r="E631" t="s">
        <v>384</v>
      </c>
      <c r="F631" t="s">
        <v>384</v>
      </c>
      <c r="G631" s="3">
        <f t="shared" si="144"/>
        <v>-0.6478174818886375</v>
      </c>
      <c r="L631">
        <f>L630+1</f>
        <v>21</v>
      </c>
      <c r="M631">
        <v>35</v>
      </c>
      <c r="N631" s="3">
        <f t="shared" si="145"/>
        <v>0.25489224962879004</v>
      </c>
      <c r="P631" t="s">
        <v>384</v>
      </c>
      <c r="Q631" t="s">
        <v>384</v>
      </c>
      <c r="R631" s="3">
        <f t="shared" si="146"/>
        <v>-0.5936433696881349</v>
      </c>
    </row>
    <row r="632" spans="1:18" ht="12.75">
      <c r="A632">
        <v>24</v>
      </c>
      <c r="B632">
        <v>35</v>
      </c>
      <c r="C632" s="3">
        <v>0.38</v>
      </c>
      <c r="E632" s="40">
        <f>LOG10(E630)</f>
        <v>0.11084211165315909</v>
      </c>
      <c r="F632" s="94">
        <f>STDEV(G626:G633)</f>
        <v>0.11024978461886017</v>
      </c>
      <c r="G632" s="3">
        <f t="shared" si="144"/>
        <v>-0.4202164033831898</v>
      </c>
      <c r="L632">
        <v>24</v>
      </c>
      <c r="M632">
        <v>35</v>
      </c>
      <c r="N632" s="3">
        <f t="shared" si="145"/>
        <v>0.4780358009429998</v>
      </c>
      <c r="P632" s="40">
        <f>LOG10(P630)</f>
        <v>0.13627186596230084</v>
      </c>
      <c r="Q632" s="94">
        <f>STDEV(R626:R633)</f>
        <v>0.13521185302883243</v>
      </c>
      <c r="R632" s="3">
        <f t="shared" si="146"/>
        <v>-0.32053957709130587</v>
      </c>
    </row>
    <row r="634" spans="1:12" ht="12.75">
      <c r="A634" s="58" t="s">
        <v>421</v>
      </c>
      <c r="L634" s="58" t="s">
        <v>421</v>
      </c>
    </row>
    <row r="635" spans="1:12" ht="12.75">
      <c r="A635" s="59" t="s">
        <v>503</v>
      </c>
      <c r="L635" s="59" t="s">
        <v>503</v>
      </c>
    </row>
    <row r="636" spans="1:18" ht="12.75">
      <c r="A636" t="s">
        <v>127</v>
      </c>
      <c r="B636" t="s">
        <v>509</v>
      </c>
      <c r="C636" t="s">
        <v>414</v>
      </c>
      <c r="D636" t="s">
        <v>519</v>
      </c>
      <c r="E636" t="s">
        <v>598</v>
      </c>
      <c r="G636" t="s">
        <v>207</v>
      </c>
      <c r="L636" t="s">
        <v>127</v>
      </c>
      <c r="M636" t="s">
        <v>509</v>
      </c>
      <c r="N636" t="s">
        <v>414</v>
      </c>
      <c r="O636" t="s">
        <v>519</v>
      </c>
      <c r="P636" t="s">
        <v>598</v>
      </c>
      <c r="R636" t="s">
        <v>207</v>
      </c>
    </row>
    <row r="637" spans="1:18" ht="12.75">
      <c r="A637">
        <v>5</v>
      </c>
      <c r="B637">
        <v>26</v>
      </c>
      <c r="C637" s="3">
        <v>0.495</v>
      </c>
      <c r="D637" s="60">
        <f>COUNT(C637:C643)</f>
        <v>7</v>
      </c>
      <c r="E637" s="3">
        <f>AVERAGE(C637:C643)</f>
        <v>0.45285714285714285</v>
      </c>
      <c r="G637" s="3">
        <f aca="true" t="shared" si="147" ref="G637:G643">LOG10(C637)</f>
        <v>-0.30539480106643124</v>
      </c>
      <c r="L637">
        <v>5</v>
      </c>
      <c r="M637">
        <v>26</v>
      </c>
      <c r="N637" s="3">
        <f aca="true" t="shared" si="148" ref="N637:N643">-LN(1-C637)</f>
        <v>0.6831968497067772</v>
      </c>
      <c r="O637" s="60">
        <f>COUNT(N637:N643)</f>
        <v>7</v>
      </c>
      <c r="P637" s="3">
        <f>AVERAGE(N637:N643)</f>
        <v>0.6192224110049628</v>
      </c>
      <c r="R637" s="3">
        <f aca="true" t="shared" si="149" ref="R637:R643">LOG10(N637)</f>
        <v>-0.16545414489240817</v>
      </c>
    </row>
    <row r="638" spans="1:18" ht="12.75">
      <c r="A638">
        <v>11</v>
      </c>
      <c r="B638">
        <v>27</v>
      </c>
      <c r="C638" s="3">
        <v>0.36</v>
      </c>
      <c r="E638" t="s">
        <v>431</v>
      </c>
      <c r="G638" s="3">
        <f t="shared" si="147"/>
        <v>-0.44369749923271273</v>
      </c>
      <c r="L638">
        <v>11</v>
      </c>
      <c r="M638">
        <v>27</v>
      </c>
      <c r="N638" s="3">
        <f t="shared" si="148"/>
        <v>0.44628710262841953</v>
      </c>
      <c r="P638" t="s">
        <v>431</v>
      </c>
      <c r="R638" s="3">
        <f t="shared" si="149"/>
        <v>-0.350385663771713</v>
      </c>
    </row>
    <row r="639" spans="1:18" ht="12.75">
      <c r="A639">
        <v>15</v>
      </c>
      <c r="B639">
        <v>40</v>
      </c>
      <c r="C639" s="3">
        <v>0.61</v>
      </c>
      <c r="E639" s="3">
        <f>STDEV(C637:C643)</f>
        <v>0.10383709769221638</v>
      </c>
      <c r="G639" s="3">
        <f t="shared" si="147"/>
        <v>-0.21467016498923297</v>
      </c>
      <c r="L639">
        <v>15</v>
      </c>
      <c r="M639">
        <v>40</v>
      </c>
      <c r="N639" s="3">
        <f t="shared" si="148"/>
        <v>0.9416085398584448</v>
      </c>
      <c r="P639" s="3">
        <f>STDEV(N637:N643)</f>
        <v>0.19672217554436466</v>
      </c>
      <c r="R639" s="3">
        <f t="shared" si="149"/>
        <v>-0.02612961134072586</v>
      </c>
    </row>
    <row r="640" spans="1:18" ht="12.75">
      <c r="A640">
        <f>A639+1</f>
        <v>16</v>
      </c>
      <c r="B640">
        <v>40</v>
      </c>
      <c r="C640" s="3">
        <v>0.52</v>
      </c>
      <c r="E640" t="s">
        <v>126</v>
      </c>
      <c r="F640" s="89" t="s">
        <v>323</v>
      </c>
      <c r="G640" s="3">
        <f t="shared" si="147"/>
        <v>-0.2839966563652008</v>
      </c>
      <c r="L640">
        <f>L639+1</f>
        <v>16</v>
      </c>
      <c r="M640">
        <v>40</v>
      </c>
      <c r="N640" s="3">
        <f t="shared" si="148"/>
        <v>0.7339691750802004</v>
      </c>
      <c r="P640" t="s">
        <v>126</v>
      </c>
      <c r="Q640" s="89" t="s">
        <v>323</v>
      </c>
      <c r="R640" s="3">
        <f t="shared" si="149"/>
        <v>-0.1343221790126526</v>
      </c>
    </row>
    <row r="641" spans="1:18" ht="12.75">
      <c r="A641">
        <v>20</v>
      </c>
      <c r="B641">
        <v>28</v>
      </c>
      <c r="C641" s="3">
        <v>0.34</v>
      </c>
      <c r="E641" s="3">
        <f>EXP(SQRT(LN(POWER(E639,2)/POWER(E637,2)+1)))</f>
        <v>1.2540300234287414</v>
      </c>
      <c r="F641" s="90">
        <f>F643/E643</f>
        <v>1.0221927099423394</v>
      </c>
      <c r="G641" s="3">
        <f t="shared" si="147"/>
        <v>-0.46852108295774486</v>
      </c>
      <c r="L641">
        <v>20</v>
      </c>
      <c r="M641">
        <v>28</v>
      </c>
      <c r="N641" s="3">
        <f t="shared" si="148"/>
        <v>0.4155154439616659</v>
      </c>
      <c r="P641" s="3">
        <f>EXP(SQRT(LN(POWER(P639,2)/POWER(P637,2)+1)))</f>
        <v>1.3635434265524282</v>
      </c>
      <c r="Q641" s="90">
        <f>Q643/P643</f>
        <v>1.027271689102074</v>
      </c>
      <c r="R641" s="3">
        <f t="shared" si="149"/>
        <v>-0.38141282963515083</v>
      </c>
    </row>
    <row r="642" spans="1:18" ht="12.75">
      <c r="A642">
        <f>A641+1</f>
        <v>21</v>
      </c>
      <c r="B642">
        <v>35</v>
      </c>
      <c r="C642" s="3">
        <v>0.35</v>
      </c>
      <c r="E642" t="s">
        <v>384</v>
      </c>
      <c r="F642" t="s">
        <v>384</v>
      </c>
      <c r="G642" s="3">
        <f t="shared" si="147"/>
        <v>-0.45593195564972444</v>
      </c>
      <c r="L642">
        <f>L641+1</f>
        <v>21</v>
      </c>
      <c r="M642">
        <v>35</v>
      </c>
      <c r="N642" s="3">
        <f t="shared" si="148"/>
        <v>0.43078291609245417</v>
      </c>
      <c r="P642" t="s">
        <v>384</v>
      </c>
      <c r="Q642" t="s">
        <v>384</v>
      </c>
      <c r="R642" s="3">
        <f t="shared" si="149"/>
        <v>-0.36574152820110817</v>
      </c>
    </row>
    <row r="643" spans="1:18" ht="12.75">
      <c r="A643">
        <v>24</v>
      </c>
      <c r="B643">
        <v>35</v>
      </c>
      <c r="C643" s="3">
        <v>0.495</v>
      </c>
      <c r="E643" s="40">
        <f>LOG10(E641)</f>
        <v>0.09830793430438016</v>
      </c>
      <c r="F643" s="6">
        <f>STDEV(G637:G644)</f>
        <v>0.10048965377542783</v>
      </c>
      <c r="G643" s="3">
        <f t="shared" si="147"/>
        <v>-0.30539480106643124</v>
      </c>
      <c r="L643">
        <v>24</v>
      </c>
      <c r="M643">
        <v>35</v>
      </c>
      <c r="N643" s="3">
        <f t="shared" si="148"/>
        <v>0.6831968497067772</v>
      </c>
      <c r="P643" s="40">
        <f>LOG10(P641)</f>
        <v>0.13466897404277986</v>
      </c>
      <c r="Q643" s="94">
        <f>STDEV(R637:R644)</f>
        <v>0.13834162443456982</v>
      </c>
      <c r="R643" s="3">
        <f t="shared" si="149"/>
        <v>-0.16545414489240817</v>
      </c>
    </row>
    <row r="645" spans="1:12" ht="12.75">
      <c r="A645" s="58" t="s">
        <v>421</v>
      </c>
      <c r="L645" s="58" t="s">
        <v>421</v>
      </c>
    </row>
    <row r="646" spans="1:12" ht="12.75">
      <c r="A646" s="59" t="s">
        <v>504</v>
      </c>
      <c r="L646" s="59" t="s">
        <v>504</v>
      </c>
    </row>
    <row r="647" spans="1:18" ht="12.75">
      <c r="A647" t="s">
        <v>127</v>
      </c>
      <c r="B647" t="s">
        <v>509</v>
      </c>
      <c r="C647" t="s">
        <v>414</v>
      </c>
      <c r="D647" t="s">
        <v>519</v>
      </c>
      <c r="E647" t="s">
        <v>598</v>
      </c>
      <c r="G647" t="s">
        <v>207</v>
      </c>
      <c r="L647" t="s">
        <v>127</v>
      </c>
      <c r="M647" t="s">
        <v>509</v>
      </c>
      <c r="N647" t="s">
        <v>414</v>
      </c>
      <c r="O647" t="s">
        <v>519</v>
      </c>
      <c r="P647" t="s">
        <v>598</v>
      </c>
      <c r="R647" t="s">
        <v>207</v>
      </c>
    </row>
    <row r="648" spans="1:18" ht="12.75">
      <c r="A648">
        <v>5</v>
      </c>
      <c r="B648">
        <v>26</v>
      </c>
      <c r="C648" s="3">
        <v>0.62</v>
      </c>
      <c r="D648" s="60">
        <f>COUNT(C648:C654)</f>
        <v>6</v>
      </c>
      <c r="E648" s="3">
        <f>AVERAGE(C648:C654)</f>
        <v>0.5258333333333334</v>
      </c>
      <c r="G648" s="3">
        <f>LOG10(C648)</f>
        <v>-0.2076083105017461</v>
      </c>
      <c r="L648">
        <v>5</v>
      </c>
      <c r="M648">
        <v>26</v>
      </c>
      <c r="N648" s="3">
        <f>-LN(1-C648)</f>
        <v>0.9675840262617055</v>
      </c>
      <c r="O648" s="60">
        <f>COUNT(N648:N654)</f>
        <v>6</v>
      </c>
      <c r="P648" s="3">
        <f>AVERAGE(N648:N654)</f>
        <v>0.7652573490460565</v>
      </c>
      <c r="R648" s="3">
        <f>LOG10(N648)</f>
        <v>-0.014311309970823463</v>
      </c>
    </row>
    <row r="649" spans="1:18" ht="12.75">
      <c r="A649">
        <v>11</v>
      </c>
      <c r="B649">
        <v>27</v>
      </c>
      <c r="C649" s="3">
        <v>0.475</v>
      </c>
      <c r="E649" t="s">
        <v>431</v>
      </c>
      <c r="G649" s="3">
        <f>LOG10(C649)</f>
        <v>-0.3233063903751334</v>
      </c>
      <c r="L649">
        <v>11</v>
      </c>
      <c r="M649">
        <v>27</v>
      </c>
      <c r="N649" s="3">
        <f>-LN(1-C649)</f>
        <v>0.6443570163905132</v>
      </c>
      <c r="P649" t="s">
        <v>431</v>
      </c>
      <c r="R649" s="3">
        <f>LOG10(N649)</f>
        <v>-0.19087343809613663</v>
      </c>
    </row>
    <row r="650" spans="1:18" ht="12.75">
      <c r="A650">
        <v>15</v>
      </c>
      <c r="B650">
        <v>40</v>
      </c>
      <c r="C650" s="3">
        <v>0.66</v>
      </c>
      <c r="E650" s="3">
        <f>STDEV(C648:C654)</f>
        <v>0.09881379795689801</v>
      </c>
      <c r="G650" s="3">
        <f>LOG10(C650)</f>
        <v>-0.1804560644581313</v>
      </c>
      <c r="L650">
        <v>15</v>
      </c>
      <c r="M650">
        <v>40</v>
      </c>
      <c r="N650" s="3">
        <f>-LN(1-C650)</f>
        <v>1.0788096613719302</v>
      </c>
      <c r="P650" s="3">
        <f>STDEV(N648:N654)</f>
        <v>0.21687884475740937</v>
      </c>
      <c r="R650" s="3">
        <f>LOG10(N650)</f>
        <v>0.03294482715954156</v>
      </c>
    </row>
    <row r="651" spans="1:18" ht="12.75">
      <c r="A651">
        <f>A650+1</f>
        <v>16</v>
      </c>
      <c r="B651">
        <v>40</v>
      </c>
      <c r="C651" s="3"/>
      <c r="E651" t="s">
        <v>126</v>
      </c>
      <c r="F651" s="89" t="s">
        <v>323</v>
      </c>
      <c r="G651" s="3"/>
      <c r="L651">
        <f>L650+1</f>
        <v>16</v>
      </c>
      <c r="M651">
        <v>40</v>
      </c>
      <c r="N651" s="3"/>
      <c r="P651" t="s">
        <v>126</v>
      </c>
      <c r="Q651" s="89" t="s">
        <v>323</v>
      </c>
      <c r="R651" s="3"/>
    </row>
    <row r="652" spans="1:18" ht="12.75">
      <c r="A652">
        <v>20</v>
      </c>
      <c r="B652">
        <v>28</v>
      </c>
      <c r="C652" s="3">
        <v>0.39</v>
      </c>
      <c r="E652" s="3">
        <f>EXP(SQRT(LN(POWER(E650,2)/POWER(E648,2)+1)))</f>
        <v>1.2047721543622483</v>
      </c>
      <c r="F652" s="90">
        <f>F654/E654</f>
        <v>1.0200872372718381</v>
      </c>
      <c r="G652" s="3">
        <f>LOG10(C652)</f>
        <v>-0.40893539297350073</v>
      </c>
      <c r="L652">
        <v>20</v>
      </c>
      <c r="M652">
        <v>28</v>
      </c>
      <c r="N652" s="3">
        <f>-LN(1-C652)</f>
        <v>0.4942963218147801</v>
      </c>
      <c r="P652" s="3">
        <f>EXP(SQRT(LN(POWER(P650,2)/POWER(P648,2)+1)))</f>
        <v>1.3204210032286134</v>
      </c>
      <c r="Q652" s="90">
        <f>Q654/P654</f>
        <v>1.019644305377982</v>
      </c>
      <c r="R652" s="3">
        <f>LOG10(N652)</f>
        <v>-0.3060126212233984</v>
      </c>
    </row>
    <row r="653" spans="1:18" ht="12.75">
      <c r="A653">
        <f>A652+1</f>
        <v>21</v>
      </c>
      <c r="B653">
        <v>35</v>
      </c>
      <c r="C653" s="3">
        <v>0.5</v>
      </c>
      <c r="E653" t="s">
        <v>384</v>
      </c>
      <c r="F653" t="s">
        <v>384</v>
      </c>
      <c r="G653" s="3">
        <f>LOG10(C653)</f>
        <v>-0.3010299956639812</v>
      </c>
      <c r="L653">
        <f>L652+1</f>
        <v>21</v>
      </c>
      <c r="M653">
        <v>35</v>
      </c>
      <c r="N653" s="3">
        <f>-LN(1-C653)</f>
        <v>0.6931471805599453</v>
      </c>
      <c r="P653" t="s">
        <v>384</v>
      </c>
      <c r="Q653" t="s">
        <v>384</v>
      </c>
      <c r="R653" s="3">
        <f>LOG10(N653)</f>
        <v>-0.1591745389548616</v>
      </c>
    </row>
    <row r="654" spans="1:18" ht="12.75">
      <c r="A654">
        <v>24</v>
      </c>
      <c r="B654">
        <v>35</v>
      </c>
      <c r="C654" s="3">
        <v>0.51</v>
      </c>
      <c r="E654" s="40">
        <f>LOG10(E652)</f>
        <v>0.08090492121836722</v>
      </c>
      <c r="F654" s="6">
        <f>STDEV(G648:G655)</f>
        <v>0.08253007756733993</v>
      </c>
      <c r="G654" s="3">
        <f>LOG10(C654)</f>
        <v>-0.2924298239020636</v>
      </c>
      <c r="L654">
        <v>24</v>
      </c>
      <c r="M654">
        <v>35</v>
      </c>
      <c r="N654" s="3">
        <f>-LN(1-C654)</f>
        <v>0.7133498878774648</v>
      </c>
      <c r="P654" s="40">
        <f>LOG10(P652)</f>
        <v>0.12071242380258058</v>
      </c>
      <c r="Q654" s="94">
        <f>STDEV(R648:R655)</f>
        <v>0.12308373551867485</v>
      </c>
      <c r="R654" s="3">
        <f>LOG10(N654)</f>
        <v>-0.1466974026829814</v>
      </c>
    </row>
    <row r="656" spans="1:12" ht="15.75">
      <c r="A656" s="61" t="s">
        <v>505</v>
      </c>
      <c r="L656" s="61" t="s">
        <v>505</v>
      </c>
    </row>
    <row r="658" spans="1:12" ht="12.75">
      <c r="A658" s="58" t="s">
        <v>421</v>
      </c>
      <c r="L658" s="58" t="s">
        <v>421</v>
      </c>
    </row>
    <row r="659" spans="1:12" ht="12.75">
      <c r="A659" s="59" t="s">
        <v>506</v>
      </c>
      <c r="L659" s="59" t="s">
        <v>506</v>
      </c>
    </row>
    <row r="660" spans="1:18" ht="12.75">
      <c r="A660" t="s">
        <v>127</v>
      </c>
      <c r="B660" t="s">
        <v>509</v>
      </c>
      <c r="C660" t="s">
        <v>414</v>
      </c>
      <c r="D660" t="s">
        <v>519</v>
      </c>
      <c r="E660" t="s">
        <v>598</v>
      </c>
      <c r="G660" t="s">
        <v>207</v>
      </c>
      <c r="L660" t="s">
        <v>127</v>
      </c>
      <c r="M660" t="s">
        <v>509</v>
      </c>
      <c r="N660" t="s">
        <v>414</v>
      </c>
      <c r="O660" t="s">
        <v>519</v>
      </c>
      <c r="P660" t="s">
        <v>598</v>
      </c>
      <c r="R660" t="s">
        <v>207</v>
      </c>
    </row>
    <row r="661" spans="1:18" ht="12.75">
      <c r="A661">
        <v>5</v>
      </c>
      <c r="B661">
        <v>26</v>
      </c>
      <c r="C661" s="3"/>
      <c r="D661" s="60">
        <f>COUNT(C661:C667)</f>
        <v>1</v>
      </c>
      <c r="E661" s="3"/>
      <c r="G661" s="3"/>
      <c r="L661">
        <v>5</v>
      </c>
      <c r="M661">
        <v>26</v>
      </c>
      <c r="N661" s="3"/>
      <c r="O661" s="60">
        <f>COUNT(N661:N667)</f>
        <v>1</v>
      </c>
      <c r="P661" s="3"/>
      <c r="R661" s="3"/>
    </row>
    <row r="662" spans="1:18" ht="12.75">
      <c r="A662">
        <v>11</v>
      </c>
      <c r="B662">
        <v>27</v>
      </c>
      <c r="C662" s="3"/>
      <c r="E662" t="s">
        <v>431</v>
      </c>
      <c r="G662" s="3"/>
      <c r="L662">
        <v>11</v>
      </c>
      <c r="M662">
        <v>27</v>
      </c>
      <c r="N662" s="3"/>
      <c r="P662" t="s">
        <v>431</v>
      </c>
      <c r="R662" s="3"/>
    </row>
    <row r="663" spans="1:18" ht="12.75">
      <c r="A663">
        <v>15</v>
      </c>
      <c r="B663">
        <v>40</v>
      </c>
      <c r="C663" s="3"/>
      <c r="E663" s="3"/>
      <c r="G663" s="3"/>
      <c r="L663">
        <v>15</v>
      </c>
      <c r="M663">
        <v>40</v>
      </c>
      <c r="N663" s="3"/>
      <c r="P663" s="3"/>
      <c r="R663" s="3"/>
    </row>
    <row r="664" spans="1:18" ht="12.75">
      <c r="A664">
        <f>A663+1</f>
        <v>16</v>
      </c>
      <c r="B664">
        <v>40</v>
      </c>
      <c r="C664" s="3">
        <v>0.48</v>
      </c>
      <c r="E664" t="s">
        <v>126</v>
      </c>
      <c r="G664" s="3"/>
      <c r="L664">
        <f>L663+1</f>
        <v>16</v>
      </c>
      <c r="M664">
        <v>40</v>
      </c>
      <c r="N664" s="3">
        <f>-LN(1-C664)</f>
        <v>0.6539264674066639</v>
      </c>
      <c r="P664" t="s">
        <v>126</v>
      </c>
      <c r="Q664" s="89" t="s">
        <v>323</v>
      </c>
      <c r="R664" s="3"/>
    </row>
    <row r="665" spans="1:18" ht="12.75">
      <c r="A665">
        <v>20</v>
      </c>
      <c r="B665">
        <v>28</v>
      </c>
      <c r="C665" s="3"/>
      <c r="E665" s="3"/>
      <c r="G665" s="3"/>
      <c r="L665">
        <v>20</v>
      </c>
      <c r="M665">
        <v>28</v>
      </c>
      <c r="N665" s="3"/>
      <c r="P665" s="3"/>
      <c r="Q665" s="90" t="e">
        <f>Q667/P667</f>
        <v>#DIV/0!</v>
      </c>
      <c r="R665" s="3"/>
    </row>
    <row r="666" spans="1:18" ht="12.75">
      <c r="A666">
        <f>A665+1</f>
        <v>21</v>
      </c>
      <c r="B666">
        <v>35</v>
      </c>
      <c r="C666" s="3"/>
      <c r="E666" t="s">
        <v>384</v>
      </c>
      <c r="F666" t="s">
        <v>384</v>
      </c>
      <c r="G666" s="3"/>
      <c r="L666">
        <f>L665+1</f>
        <v>21</v>
      </c>
      <c r="M666">
        <v>35</v>
      </c>
      <c r="N666" s="3"/>
      <c r="P666" t="s">
        <v>384</v>
      </c>
      <c r="Q666" t="s">
        <v>384</v>
      </c>
      <c r="R666" s="3"/>
    </row>
    <row r="667" spans="1:18" ht="12.75">
      <c r="A667">
        <v>24</v>
      </c>
      <c r="B667">
        <v>35</v>
      </c>
      <c r="C667" s="3"/>
      <c r="E667" s="40"/>
      <c r="F667" s="6"/>
      <c r="G667" s="3"/>
      <c r="L667">
        <v>24</v>
      </c>
      <c r="M667">
        <v>35</v>
      </c>
      <c r="N667" s="3"/>
      <c r="P667" s="40"/>
      <c r="Q667" s="6"/>
      <c r="R667" s="3"/>
    </row>
    <row r="668" spans="2:15" ht="12.75">
      <c r="B668" s="3"/>
      <c r="D668" s="3"/>
      <c r="M668" s="3"/>
      <c r="O668" s="3"/>
    </row>
    <row r="669" spans="1:12" ht="12.75">
      <c r="A669" s="58" t="s">
        <v>421</v>
      </c>
      <c r="L669" s="58" t="s">
        <v>421</v>
      </c>
    </row>
    <row r="670" spans="1:12" ht="12.75">
      <c r="A670" s="59" t="s">
        <v>507</v>
      </c>
      <c r="L670" s="59" t="s">
        <v>507</v>
      </c>
    </row>
    <row r="671" spans="1:18" ht="12.75">
      <c r="A671" t="s">
        <v>127</v>
      </c>
      <c r="B671" t="s">
        <v>509</v>
      </c>
      <c r="C671" t="s">
        <v>414</v>
      </c>
      <c r="D671" t="s">
        <v>519</v>
      </c>
      <c r="E671" t="s">
        <v>598</v>
      </c>
      <c r="G671" t="s">
        <v>207</v>
      </c>
      <c r="L671" t="s">
        <v>127</v>
      </c>
      <c r="M671" t="s">
        <v>509</v>
      </c>
      <c r="N671" t="s">
        <v>414</v>
      </c>
      <c r="O671" t="s">
        <v>519</v>
      </c>
      <c r="P671" t="s">
        <v>598</v>
      </c>
      <c r="R671" t="s">
        <v>207</v>
      </c>
    </row>
    <row r="672" spans="1:18" ht="12.75">
      <c r="A672">
        <v>5</v>
      </c>
      <c r="B672">
        <v>26</v>
      </c>
      <c r="C672" s="3">
        <v>0.81</v>
      </c>
      <c r="D672" s="60">
        <f>COUNT(C672:C678)</f>
        <v>7</v>
      </c>
      <c r="E672" s="3">
        <f>AVERAGE(C672:C678)</f>
        <v>0.6457142857142858</v>
      </c>
      <c r="G672" s="3">
        <f aca="true" t="shared" si="150" ref="G672:G678">LOG10(C672)</f>
        <v>-0.09151498112135022</v>
      </c>
      <c r="L672">
        <v>5</v>
      </c>
      <c r="M672">
        <v>26</v>
      </c>
      <c r="N672" s="3">
        <f aca="true" t="shared" si="151" ref="N672:N678">-LN(1-C672)</f>
        <v>1.660731206821651</v>
      </c>
      <c r="O672" s="60">
        <f>COUNT(N672:N678)</f>
        <v>7</v>
      </c>
      <c r="P672" s="3">
        <f>AVERAGE(N672:N678)</f>
        <v>1.083669304095478</v>
      </c>
      <c r="R672" s="3">
        <f aca="true" t="shared" si="152" ref="R672:R678">LOG10(N672)</f>
        <v>0.22029934657507477</v>
      </c>
    </row>
    <row r="673" spans="1:18" ht="12.75">
      <c r="A673">
        <v>11</v>
      </c>
      <c r="B673">
        <v>27</v>
      </c>
      <c r="C673" s="3">
        <v>0.5</v>
      </c>
      <c r="E673" t="s">
        <v>431</v>
      </c>
      <c r="G673" s="3">
        <f t="shared" si="150"/>
        <v>-0.3010299956639812</v>
      </c>
      <c r="L673">
        <v>11</v>
      </c>
      <c r="M673">
        <v>27</v>
      </c>
      <c r="N673" s="3">
        <f t="shared" si="151"/>
        <v>0.6931471805599453</v>
      </c>
      <c r="P673" t="s">
        <v>431</v>
      </c>
      <c r="R673" s="3">
        <f t="shared" si="152"/>
        <v>-0.1591745389548616</v>
      </c>
    </row>
    <row r="674" spans="1:18" ht="12.75">
      <c r="A674">
        <v>15</v>
      </c>
      <c r="B674">
        <v>40</v>
      </c>
      <c r="C674" s="3">
        <v>0.67</v>
      </c>
      <c r="E674" s="3">
        <f>STDEV(C672:C678)</f>
        <v>0.11148350294358045</v>
      </c>
      <c r="G674" s="3">
        <f t="shared" si="150"/>
        <v>-0.17392519729917352</v>
      </c>
      <c r="L674">
        <v>15</v>
      </c>
      <c r="M674">
        <v>40</v>
      </c>
      <c r="N674" s="3">
        <f t="shared" si="151"/>
        <v>1.1086626245216111</v>
      </c>
      <c r="P674" s="3">
        <f>STDEV(N672:N678)</f>
        <v>0.3361703953297019</v>
      </c>
      <c r="R674" s="3">
        <f t="shared" si="152"/>
        <v>0.04479940674427135</v>
      </c>
    </row>
    <row r="675" spans="1:18" ht="12.75">
      <c r="A675">
        <f>A674+1</f>
        <v>16</v>
      </c>
      <c r="B675">
        <v>40</v>
      </c>
      <c r="C675" s="3">
        <v>0.73</v>
      </c>
      <c r="E675" t="s">
        <v>126</v>
      </c>
      <c r="F675" s="89" t="s">
        <v>323</v>
      </c>
      <c r="G675" s="3">
        <f t="shared" si="150"/>
        <v>-0.1366771398795441</v>
      </c>
      <c r="L675">
        <f>L674+1</f>
        <v>16</v>
      </c>
      <c r="M675">
        <v>40</v>
      </c>
      <c r="N675" s="3">
        <f t="shared" si="151"/>
        <v>1.3093333199837622</v>
      </c>
      <c r="P675" t="s">
        <v>126</v>
      </c>
      <c r="Q675" s="89" t="s">
        <v>323</v>
      </c>
      <c r="R675" s="3">
        <f t="shared" si="152"/>
        <v>0.11705021996731295</v>
      </c>
    </row>
    <row r="676" spans="1:18" ht="12.75">
      <c r="A676">
        <v>20</v>
      </c>
      <c r="B676">
        <v>28</v>
      </c>
      <c r="C676" s="3">
        <v>0.64</v>
      </c>
      <c r="E676" s="3">
        <f>EXP(SQRT(LN(POWER(E674,2)/POWER(E672,2)+1)))</f>
        <v>1.1869478590463125</v>
      </c>
      <c r="F676" s="90">
        <f>F678/E678</f>
        <v>1.0334200821531527</v>
      </c>
      <c r="G676" s="3">
        <f t="shared" si="150"/>
        <v>-0.19382002601611284</v>
      </c>
      <c r="L676">
        <v>20</v>
      </c>
      <c r="M676">
        <v>28</v>
      </c>
      <c r="N676" s="3">
        <f t="shared" si="151"/>
        <v>1.0216512475319814</v>
      </c>
      <c r="P676" s="3">
        <f>EXP(SQRT(LN(POWER(P674,2)/POWER(P672,2)+1)))</f>
        <v>1.354073142274669</v>
      </c>
      <c r="Q676" s="90">
        <f>Q678/P678</f>
        <v>1.0297716455436736</v>
      </c>
      <c r="R676" s="3">
        <f t="shared" si="152"/>
        <v>0.00930266965290335</v>
      </c>
    </row>
    <row r="677" spans="1:18" ht="12.75">
      <c r="A677">
        <f>A676+1</f>
        <v>21</v>
      </c>
      <c r="B677">
        <v>35</v>
      </c>
      <c r="C677" s="3">
        <v>0.51</v>
      </c>
      <c r="E677" t="s">
        <v>384</v>
      </c>
      <c r="F677" t="s">
        <v>384</v>
      </c>
      <c r="G677" s="3">
        <f t="shared" si="150"/>
        <v>-0.2924298239020636</v>
      </c>
      <c r="L677">
        <f>L676+1</f>
        <v>21</v>
      </c>
      <c r="M677">
        <v>35</v>
      </c>
      <c r="N677" s="3">
        <f t="shared" si="151"/>
        <v>0.7133498878774648</v>
      </c>
      <c r="P677" t="s">
        <v>384</v>
      </c>
      <c r="Q677" t="s">
        <v>384</v>
      </c>
      <c r="R677" s="3">
        <f t="shared" si="152"/>
        <v>-0.1466974026829814</v>
      </c>
    </row>
    <row r="678" spans="1:18" ht="12.75">
      <c r="A678">
        <v>24</v>
      </c>
      <c r="B678">
        <v>35</v>
      </c>
      <c r="C678" s="3">
        <v>0.66</v>
      </c>
      <c r="E678" s="40">
        <f>LOG10(E676)</f>
        <v>0.07443164142651074</v>
      </c>
      <c r="F678" s="6">
        <f>STDEV(G672:G679)</f>
        <v>0.07691915299777873</v>
      </c>
      <c r="G678" s="3">
        <f t="shared" si="150"/>
        <v>-0.1804560644581313</v>
      </c>
      <c r="L678">
        <v>24</v>
      </c>
      <c r="M678">
        <v>35</v>
      </c>
      <c r="N678" s="3">
        <f t="shared" si="151"/>
        <v>1.0788096613719302</v>
      </c>
      <c r="P678" s="40">
        <f>LOG10(P676)</f>
        <v>0.13164212404509493</v>
      </c>
      <c r="Q678" s="94">
        <f>STDEV(R672:R679)</f>
        <v>0.1355613267007818</v>
      </c>
      <c r="R678" s="3">
        <f t="shared" si="152"/>
        <v>0.03294482715954156</v>
      </c>
    </row>
    <row r="680" spans="1:12" ht="12.75">
      <c r="A680" s="58" t="s">
        <v>421</v>
      </c>
      <c r="L680" s="58" t="s">
        <v>421</v>
      </c>
    </row>
    <row r="681" spans="1:12" ht="12.75">
      <c r="A681" s="59" t="s">
        <v>249</v>
      </c>
      <c r="L681" s="59" t="s">
        <v>249</v>
      </c>
    </row>
    <row r="682" spans="1:18" ht="12.75">
      <c r="A682" t="s">
        <v>127</v>
      </c>
      <c r="B682" t="s">
        <v>509</v>
      </c>
      <c r="C682" t="s">
        <v>414</v>
      </c>
      <c r="D682" t="s">
        <v>519</v>
      </c>
      <c r="E682" t="s">
        <v>598</v>
      </c>
      <c r="G682" t="s">
        <v>207</v>
      </c>
      <c r="L682" t="s">
        <v>127</v>
      </c>
      <c r="M682" t="s">
        <v>509</v>
      </c>
      <c r="N682" t="s">
        <v>414</v>
      </c>
      <c r="O682" t="s">
        <v>519</v>
      </c>
      <c r="P682" t="s">
        <v>598</v>
      </c>
      <c r="R682" t="s">
        <v>207</v>
      </c>
    </row>
    <row r="683" spans="1:18" ht="12.75">
      <c r="A683">
        <v>5</v>
      </c>
      <c r="B683">
        <v>26</v>
      </c>
      <c r="C683" s="3">
        <v>0.88</v>
      </c>
      <c r="D683" s="60">
        <f>COUNT(C683:C689)</f>
        <v>7</v>
      </c>
      <c r="E683" s="3">
        <f>AVERAGE(C683:C689)</f>
        <v>0.6892857142857143</v>
      </c>
      <c r="G683" s="3">
        <f aca="true" t="shared" si="153" ref="G683:G689">LOG10(C683)</f>
        <v>-0.05551732784983137</v>
      </c>
      <c r="L683">
        <v>5</v>
      </c>
      <c r="M683">
        <v>26</v>
      </c>
      <c r="N683" s="3">
        <f aca="true" t="shared" si="154" ref="N683:N689">-LN(1-C683)</f>
        <v>2.120263536200091</v>
      </c>
      <c r="O683" s="60">
        <f>COUNT(N683:N689)</f>
        <v>7</v>
      </c>
      <c r="P683" s="3">
        <f>AVERAGE(N683:N689)</f>
        <v>1.2556835932936754</v>
      </c>
      <c r="R683" s="3">
        <f aca="true" t="shared" si="155" ref="R683:R689">LOG10(N683)</f>
        <v>0.326389844515692</v>
      </c>
    </row>
    <row r="684" spans="1:18" ht="12.75">
      <c r="A684">
        <v>11</v>
      </c>
      <c r="B684">
        <v>27</v>
      </c>
      <c r="C684" s="3">
        <v>0.515</v>
      </c>
      <c r="E684" t="s">
        <v>431</v>
      </c>
      <c r="G684" s="3">
        <f t="shared" si="153"/>
        <v>-0.28819277095880896</v>
      </c>
      <c r="L684">
        <v>11</v>
      </c>
      <c r="M684">
        <v>27</v>
      </c>
      <c r="N684" s="3">
        <f t="shared" si="154"/>
        <v>0.7236063880446539</v>
      </c>
      <c r="P684" t="s">
        <v>431</v>
      </c>
      <c r="R684" s="3">
        <f t="shared" si="155"/>
        <v>-0.14049760781512943</v>
      </c>
    </row>
    <row r="685" spans="1:18" ht="12.75">
      <c r="A685">
        <v>15</v>
      </c>
      <c r="B685">
        <v>40</v>
      </c>
      <c r="C685" s="3">
        <v>0.695</v>
      </c>
      <c r="E685" s="3">
        <f>STDEV(C683:C689)</f>
        <v>0.12745680874413118</v>
      </c>
      <c r="G685" s="3">
        <f t="shared" si="153"/>
        <v>-0.15801519540988612</v>
      </c>
      <c r="L685">
        <v>15</v>
      </c>
      <c r="M685">
        <v>40</v>
      </c>
      <c r="N685" s="3">
        <f t="shared" si="154"/>
        <v>1.1874435023747252</v>
      </c>
      <c r="P685" s="3">
        <f>STDEV(N683:N689)</f>
        <v>0.4763306752106442</v>
      </c>
      <c r="R685" s="3">
        <f t="shared" si="155"/>
        <v>0.07461295539955308</v>
      </c>
    </row>
    <row r="686" spans="1:18" ht="12.75">
      <c r="A686">
        <f>A685+1</f>
        <v>16</v>
      </c>
      <c r="B686">
        <v>40</v>
      </c>
      <c r="C686" s="3">
        <v>0.79</v>
      </c>
      <c r="E686" t="s">
        <v>126</v>
      </c>
      <c r="F686" s="89" t="s">
        <v>323</v>
      </c>
      <c r="G686" s="3">
        <f t="shared" si="153"/>
        <v>-0.10237290870955855</v>
      </c>
      <c r="L686">
        <f>L685+1</f>
        <v>16</v>
      </c>
      <c r="M686">
        <v>40</v>
      </c>
      <c r="N686" s="3">
        <f t="shared" si="154"/>
        <v>1.5606477482646686</v>
      </c>
      <c r="P686" t="s">
        <v>126</v>
      </c>
      <c r="Q686" s="89" t="s">
        <v>323</v>
      </c>
      <c r="R686" s="3">
        <f t="shared" si="155"/>
        <v>0.19330489009113996</v>
      </c>
    </row>
    <row r="687" spans="1:18" ht="12.75">
      <c r="A687">
        <v>20</v>
      </c>
      <c r="B687">
        <v>28</v>
      </c>
      <c r="C687" s="3">
        <v>0.73</v>
      </c>
      <c r="E687" s="2">
        <f>EXP(SQRT(LN(POWER(E685,2)/POWER(E683,2)+1)))</f>
        <v>1.201246077649171</v>
      </c>
      <c r="F687" s="90">
        <f>F689/E689</f>
        <v>1.0296085604785228</v>
      </c>
      <c r="G687" s="3">
        <f t="shared" si="153"/>
        <v>-0.1366771398795441</v>
      </c>
      <c r="L687">
        <v>20</v>
      </c>
      <c r="M687">
        <v>28</v>
      </c>
      <c r="N687" s="3">
        <f t="shared" si="154"/>
        <v>1.3093333199837622</v>
      </c>
      <c r="P687" s="2">
        <f>EXP(SQRT(LN(POWER(P685,2)/POWER(P683,2)+1)))</f>
        <v>1.4429126069376783</v>
      </c>
      <c r="Q687" s="90">
        <f>Q689/P689</f>
        <v>1.00911211971435</v>
      </c>
      <c r="R687" s="3">
        <f t="shared" si="155"/>
        <v>0.11705021996731295</v>
      </c>
    </row>
    <row r="688" spans="1:18" ht="12.75">
      <c r="A688">
        <f>A687+1</f>
        <v>21</v>
      </c>
      <c r="B688">
        <v>35</v>
      </c>
      <c r="C688" s="3">
        <v>0.555</v>
      </c>
      <c r="E688" t="s">
        <v>384</v>
      </c>
      <c r="F688" t="s">
        <v>384</v>
      </c>
      <c r="G688" s="3">
        <f t="shared" si="153"/>
        <v>-0.2557070168773237</v>
      </c>
      <c r="L688">
        <f>L687+1</f>
        <v>21</v>
      </c>
      <c r="M688">
        <v>35</v>
      </c>
      <c r="N688" s="3">
        <f t="shared" si="154"/>
        <v>0.8096809968158969</v>
      </c>
      <c r="P688" t="s">
        <v>384</v>
      </c>
      <c r="Q688" t="s">
        <v>384</v>
      </c>
      <c r="R688" s="3">
        <f t="shared" si="155"/>
        <v>-0.09168605348020276</v>
      </c>
    </row>
    <row r="689" spans="1:18" ht="12.75">
      <c r="A689">
        <v>24</v>
      </c>
      <c r="B689">
        <v>35</v>
      </c>
      <c r="C689" s="3">
        <v>0.66</v>
      </c>
      <c r="E689" s="40">
        <f>LOG10(E687)</f>
        <v>0.0796319826053408</v>
      </c>
      <c r="F689" s="94">
        <f>STDEV(G683:G690)</f>
        <v>0.08198977097833571</v>
      </c>
      <c r="G689" s="3">
        <f t="shared" si="153"/>
        <v>-0.1804560644581313</v>
      </c>
      <c r="L689">
        <v>24</v>
      </c>
      <c r="M689">
        <v>35</v>
      </c>
      <c r="N689" s="3">
        <f t="shared" si="154"/>
        <v>1.0788096613719302</v>
      </c>
      <c r="P689" s="40">
        <f>LOG10(P687)</f>
        <v>0.1592400279236454</v>
      </c>
      <c r="Q689" s="94">
        <f>STDEV(R683:R690)</f>
        <v>0.1606910421214021</v>
      </c>
      <c r="R689" s="3">
        <f t="shared" si="155"/>
        <v>0.03294482715954156</v>
      </c>
    </row>
    <row r="691" spans="1:12" ht="12.75">
      <c r="A691" s="58" t="s">
        <v>421</v>
      </c>
      <c r="L691" s="58" t="s">
        <v>421</v>
      </c>
    </row>
    <row r="692" spans="1:12" ht="12.75">
      <c r="A692" s="59" t="s">
        <v>250</v>
      </c>
      <c r="L692" s="59" t="s">
        <v>250</v>
      </c>
    </row>
    <row r="693" spans="1:18" ht="12.75">
      <c r="A693" t="s">
        <v>127</v>
      </c>
      <c r="B693" t="s">
        <v>509</v>
      </c>
      <c r="C693" t="s">
        <v>414</v>
      </c>
      <c r="D693" t="s">
        <v>519</v>
      </c>
      <c r="E693" t="s">
        <v>598</v>
      </c>
      <c r="G693" t="s">
        <v>207</v>
      </c>
      <c r="L693" t="s">
        <v>127</v>
      </c>
      <c r="M693" t="s">
        <v>509</v>
      </c>
      <c r="N693" t="s">
        <v>414</v>
      </c>
      <c r="O693" t="s">
        <v>519</v>
      </c>
      <c r="P693" t="s">
        <v>598</v>
      </c>
      <c r="R693" t="s">
        <v>207</v>
      </c>
    </row>
    <row r="694" spans="1:18" ht="12.75">
      <c r="A694">
        <v>5</v>
      </c>
      <c r="B694">
        <v>26</v>
      </c>
      <c r="C694" s="3">
        <v>0.67</v>
      </c>
      <c r="D694" s="60">
        <f>COUNT(C694:C700)</f>
        <v>7</v>
      </c>
      <c r="E694" s="3">
        <f>AVERAGE(C694:C700)</f>
        <v>0.5285714285714286</v>
      </c>
      <c r="G694" s="3">
        <f aca="true" t="shared" si="156" ref="G694:G700">LOG10(C694)</f>
        <v>-0.17392519729917352</v>
      </c>
      <c r="L694">
        <v>5</v>
      </c>
      <c r="M694">
        <v>26</v>
      </c>
      <c r="N694" s="3">
        <f aca="true" t="shared" si="157" ref="N694:N700">-LN(1-C694)</f>
        <v>1.1086626245216111</v>
      </c>
      <c r="O694" s="60">
        <f>COUNT(N694:N700)</f>
        <v>7</v>
      </c>
      <c r="P694" s="3">
        <f>AVERAGE(N694:N700)</f>
        <v>0.773911915522188</v>
      </c>
      <c r="R694" s="3">
        <f aca="true" t="shared" si="158" ref="R694:R700">LOG10(N694)</f>
        <v>0.04479940674427135</v>
      </c>
    </row>
    <row r="695" spans="1:18" ht="12.75">
      <c r="A695">
        <v>11</v>
      </c>
      <c r="B695">
        <v>27</v>
      </c>
      <c r="C695" s="3">
        <v>0.38</v>
      </c>
      <c r="E695" t="s">
        <v>431</v>
      </c>
      <c r="G695" s="3">
        <f t="shared" si="156"/>
        <v>-0.4202164033831898</v>
      </c>
      <c r="L695">
        <v>11</v>
      </c>
      <c r="M695">
        <v>27</v>
      </c>
      <c r="N695" s="3">
        <f t="shared" si="157"/>
        <v>0.4780358009429998</v>
      </c>
      <c r="P695" t="s">
        <v>431</v>
      </c>
      <c r="R695" s="3">
        <f t="shared" si="158"/>
        <v>-0.32053957709130587</v>
      </c>
    </row>
    <row r="696" spans="1:18" ht="12.75">
      <c r="A696">
        <v>15</v>
      </c>
      <c r="B696">
        <v>40</v>
      </c>
      <c r="C696" s="3">
        <v>0.65</v>
      </c>
      <c r="E696" s="3">
        <f>STDEV(C694:C700)</f>
        <v>0.10350983390135296</v>
      </c>
      <c r="G696" s="3">
        <f t="shared" si="156"/>
        <v>-0.1870866433571444</v>
      </c>
      <c r="L696">
        <v>15</v>
      </c>
      <c r="M696">
        <v>40</v>
      </c>
      <c r="N696" s="3">
        <f t="shared" si="157"/>
        <v>1.0498221244986778</v>
      </c>
      <c r="P696" s="3">
        <f>STDEV(N694:N700)</f>
        <v>0.22982858866880546</v>
      </c>
      <c r="R696" s="3">
        <f t="shared" si="158"/>
        <v>0.0211157210768562</v>
      </c>
    </row>
    <row r="697" spans="1:18" ht="12.75">
      <c r="A697">
        <f>A696+1</f>
        <v>16</v>
      </c>
      <c r="B697">
        <v>40</v>
      </c>
      <c r="C697" s="3">
        <v>0.54</v>
      </c>
      <c r="E697" t="s">
        <v>126</v>
      </c>
      <c r="F697" s="89" t="s">
        <v>323</v>
      </c>
      <c r="G697" s="3">
        <f t="shared" si="156"/>
        <v>-0.2676062401770315</v>
      </c>
      <c r="L697">
        <f>L696+1</f>
        <v>16</v>
      </c>
      <c r="M697">
        <v>40</v>
      </c>
      <c r="N697" s="3">
        <f t="shared" si="157"/>
        <v>0.7765287894989965</v>
      </c>
      <c r="P697" t="s">
        <v>126</v>
      </c>
      <c r="Q697" s="89" t="s">
        <v>323</v>
      </c>
      <c r="R697" s="3">
        <f t="shared" si="158"/>
        <v>-0.1098424383400924</v>
      </c>
    </row>
    <row r="698" spans="1:18" ht="12.75">
      <c r="A698">
        <v>20</v>
      </c>
      <c r="B698">
        <v>28</v>
      </c>
      <c r="C698" s="3">
        <v>0.5</v>
      </c>
      <c r="E698" s="3">
        <f>EXP(SQRT(LN(POWER(E696,2)/POWER(E694,2)+1)))</f>
        <v>1.2140840973140667</v>
      </c>
      <c r="F698" s="90">
        <f>F700/E700</f>
        <v>1.023766813769966</v>
      </c>
      <c r="G698" s="3">
        <f t="shared" si="156"/>
        <v>-0.3010299956639812</v>
      </c>
      <c r="L698">
        <v>20</v>
      </c>
      <c r="M698">
        <v>28</v>
      </c>
      <c r="N698" s="3">
        <f t="shared" si="157"/>
        <v>0.6931471805599453</v>
      </c>
      <c r="P698" s="3">
        <f>EXP(SQRT(LN(POWER(P696,2)/POWER(P694,2)+1)))</f>
        <v>1.3373870931534917</v>
      </c>
      <c r="Q698" s="90">
        <f>Q700/P700</f>
        <v>1.0221106586603397</v>
      </c>
      <c r="R698" s="3">
        <f t="shared" si="158"/>
        <v>-0.1591745389548616</v>
      </c>
    </row>
    <row r="699" spans="1:18" ht="12.75">
      <c r="A699">
        <f>A698+1</f>
        <v>21</v>
      </c>
      <c r="B699">
        <v>35</v>
      </c>
      <c r="C699" s="3">
        <v>0.45</v>
      </c>
      <c r="E699" t="s">
        <v>384</v>
      </c>
      <c r="F699" t="s">
        <v>384</v>
      </c>
      <c r="G699" s="3">
        <f t="shared" si="156"/>
        <v>-0.3467874862246563</v>
      </c>
      <c r="L699">
        <f>L698+1</f>
        <v>21</v>
      </c>
      <c r="M699">
        <v>35</v>
      </c>
      <c r="N699" s="3">
        <f t="shared" si="157"/>
        <v>0.5978370007556204</v>
      </c>
      <c r="P699" t="s">
        <v>384</v>
      </c>
      <c r="Q699" t="s">
        <v>384</v>
      </c>
      <c r="R699" s="3">
        <f t="shared" si="158"/>
        <v>-0.2234172095263945</v>
      </c>
    </row>
    <row r="700" spans="1:18" ht="12.75">
      <c r="A700">
        <v>24</v>
      </c>
      <c r="B700">
        <v>35</v>
      </c>
      <c r="C700" s="3">
        <v>0.51</v>
      </c>
      <c r="E700" s="40">
        <f>LOG10(E698)</f>
        <v>0.08424877054028757</v>
      </c>
      <c r="F700" s="6">
        <f>STDEV(G694:G701)</f>
        <v>0.08625109538006717</v>
      </c>
      <c r="G700" s="3">
        <f t="shared" si="156"/>
        <v>-0.2924298239020636</v>
      </c>
      <c r="L700">
        <v>24</v>
      </c>
      <c r="M700">
        <v>35</v>
      </c>
      <c r="N700" s="3">
        <f t="shared" si="157"/>
        <v>0.7133498878774648</v>
      </c>
      <c r="P700" s="40">
        <f>LOG10(P698)</f>
        <v>0.12625712759779392</v>
      </c>
      <c r="Q700" s="94">
        <f>STDEV(R694:R701)</f>
        <v>0.1290487558495437</v>
      </c>
      <c r="R700" s="3">
        <f t="shared" si="158"/>
        <v>-0.1466974026829814</v>
      </c>
    </row>
    <row r="702" spans="1:12" ht="12.75">
      <c r="A702" s="58" t="s">
        <v>421</v>
      </c>
      <c r="L702" s="58" t="s">
        <v>421</v>
      </c>
    </row>
    <row r="703" spans="1:12" ht="12.75">
      <c r="A703" s="59" t="s">
        <v>251</v>
      </c>
      <c r="L703" s="59" t="s">
        <v>251</v>
      </c>
    </row>
    <row r="704" spans="1:18" ht="12.75">
      <c r="A704" t="s">
        <v>127</v>
      </c>
      <c r="B704" t="s">
        <v>509</v>
      </c>
      <c r="C704" t="s">
        <v>414</v>
      </c>
      <c r="D704" t="s">
        <v>519</v>
      </c>
      <c r="E704" t="s">
        <v>598</v>
      </c>
      <c r="G704" t="s">
        <v>207</v>
      </c>
      <c r="L704" t="s">
        <v>127</v>
      </c>
      <c r="M704" t="s">
        <v>509</v>
      </c>
      <c r="N704" t="s">
        <v>414</v>
      </c>
      <c r="O704" t="s">
        <v>519</v>
      </c>
      <c r="P704" t="s">
        <v>598</v>
      </c>
      <c r="R704" t="s">
        <v>207</v>
      </c>
    </row>
    <row r="705" spans="1:18" ht="12.75">
      <c r="A705">
        <v>5</v>
      </c>
      <c r="B705">
        <v>26</v>
      </c>
      <c r="C705" s="3">
        <v>0.82</v>
      </c>
      <c r="D705" s="60">
        <f>COUNT(C705:C711)</f>
        <v>7</v>
      </c>
      <c r="E705" s="3">
        <f>AVERAGE(C705:C711)</f>
        <v>0.6578571428571429</v>
      </c>
      <c r="G705" s="3">
        <f aca="true" t="shared" si="159" ref="G705:G711">LOG10(C705)</f>
        <v>-0.08618614761628333</v>
      </c>
      <c r="L705">
        <v>5</v>
      </c>
      <c r="M705">
        <v>26</v>
      </c>
      <c r="N705" s="3">
        <f aca="true" t="shared" si="160" ref="N705:N711">-LN(1-C705)</f>
        <v>1.7147984280919264</v>
      </c>
      <c r="O705" s="60">
        <f>COUNT(N705:N711)</f>
        <v>7</v>
      </c>
      <c r="P705" s="3">
        <f>AVERAGE(N705:N711)</f>
        <v>1.1586378653230542</v>
      </c>
      <c r="R705" s="3">
        <f aca="true" t="shared" si="161" ref="R705:R711">LOG10(N705)</f>
        <v>0.23421307673309275</v>
      </c>
    </row>
    <row r="706" spans="1:18" ht="12.75">
      <c r="A706">
        <v>11</v>
      </c>
      <c r="B706">
        <v>27</v>
      </c>
      <c r="C706" s="3">
        <v>0.485</v>
      </c>
      <c r="E706" t="s">
        <v>431</v>
      </c>
      <c r="G706" s="3">
        <f t="shared" si="159"/>
        <v>-0.3142582613977364</v>
      </c>
      <c r="L706">
        <v>11</v>
      </c>
      <c r="M706">
        <v>27</v>
      </c>
      <c r="N706" s="3">
        <f t="shared" si="160"/>
        <v>0.6635883783184009</v>
      </c>
      <c r="P706" t="s">
        <v>431</v>
      </c>
      <c r="R706" s="3">
        <f t="shared" si="161"/>
        <v>-0.17810122854940347</v>
      </c>
    </row>
    <row r="707" spans="1:18" ht="12.75">
      <c r="A707">
        <v>15</v>
      </c>
      <c r="B707">
        <v>40</v>
      </c>
      <c r="C707" s="3">
        <v>0.81</v>
      </c>
      <c r="E707" s="3">
        <f>STDEV(C705:C711)</f>
        <v>0.14966231831629986</v>
      </c>
      <c r="G707" s="3">
        <f t="shared" si="159"/>
        <v>-0.09151498112135022</v>
      </c>
      <c r="L707">
        <v>15</v>
      </c>
      <c r="M707">
        <v>40</v>
      </c>
      <c r="N707" s="3">
        <f t="shared" si="160"/>
        <v>1.660731206821651</v>
      </c>
      <c r="P707" s="3">
        <f>STDEV(N705:N711)</f>
        <v>0.45386097555104077</v>
      </c>
      <c r="R707" s="3">
        <f t="shared" si="161"/>
        <v>0.22029934657507477</v>
      </c>
    </row>
    <row r="708" spans="1:18" ht="12.75">
      <c r="A708">
        <f>A707+1</f>
        <v>16</v>
      </c>
      <c r="B708">
        <v>40</v>
      </c>
      <c r="C708" s="3">
        <v>0.76</v>
      </c>
      <c r="E708" t="s">
        <v>126</v>
      </c>
      <c r="F708" s="89" t="s">
        <v>323</v>
      </c>
      <c r="G708" s="3">
        <f t="shared" si="159"/>
        <v>-0.11918640771920863</v>
      </c>
      <c r="L708">
        <f>L707+1</f>
        <v>16</v>
      </c>
      <c r="M708">
        <v>40</v>
      </c>
      <c r="N708" s="3">
        <f t="shared" si="160"/>
        <v>1.4271163556401458</v>
      </c>
      <c r="P708" t="s">
        <v>126</v>
      </c>
      <c r="Q708" s="89" t="s">
        <v>323</v>
      </c>
      <c r="R708" s="3">
        <f t="shared" si="161"/>
        <v>0.15445938345268856</v>
      </c>
    </row>
    <row r="709" spans="1:18" ht="12.75">
      <c r="A709">
        <v>20</v>
      </c>
      <c r="B709">
        <v>28</v>
      </c>
      <c r="C709" s="3">
        <v>0.62</v>
      </c>
      <c r="E709" s="3">
        <f>EXP(SQRT(LN(POWER(E707,2)/POWER(E705,2)+1)))</f>
        <v>1.251866769704633</v>
      </c>
      <c r="F709" s="90">
        <f>F711/E711</f>
        <v>1.0740681010401831</v>
      </c>
      <c r="G709" s="3">
        <f t="shared" si="159"/>
        <v>-0.2076083105017461</v>
      </c>
      <c r="L709">
        <v>20</v>
      </c>
      <c r="M709">
        <v>28</v>
      </c>
      <c r="N709" s="3">
        <f t="shared" si="160"/>
        <v>0.9675840262617055</v>
      </c>
      <c r="P709" s="3">
        <f>EXP(SQRT(LN(POWER(P707,2)/POWER(P705,2)+1)))</f>
        <v>1.4591087788200916</v>
      </c>
      <c r="Q709" s="90">
        <f>Q711/P711</f>
        <v>1.1206133620987204</v>
      </c>
      <c r="R709" s="3">
        <f t="shared" si="161"/>
        <v>-0.014311309970823463</v>
      </c>
    </row>
    <row r="710" spans="1:18" ht="12.75">
      <c r="A710">
        <f>A709+1</f>
        <v>21</v>
      </c>
      <c r="B710">
        <v>35</v>
      </c>
      <c r="C710" s="3">
        <v>0.45</v>
      </c>
      <c r="E710" t="s">
        <v>384</v>
      </c>
      <c r="F710" t="s">
        <v>384</v>
      </c>
      <c r="G710" s="3">
        <f t="shared" si="159"/>
        <v>-0.3467874862246563</v>
      </c>
      <c r="L710">
        <f>L709+1</f>
        <v>21</v>
      </c>
      <c r="M710">
        <v>35</v>
      </c>
      <c r="N710" s="3">
        <f t="shared" si="160"/>
        <v>0.5978370007556204</v>
      </c>
      <c r="P710" t="s">
        <v>384</v>
      </c>
      <c r="Q710" t="s">
        <v>384</v>
      </c>
      <c r="R710" s="3">
        <f t="shared" si="161"/>
        <v>-0.2234172095263945</v>
      </c>
    </row>
    <row r="711" spans="1:18" ht="12.75">
      <c r="A711">
        <v>24</v>
      </c>
      <c r="B711">
        <v>35</v>
      </c>
      <c r="C711" s="3">
        <v>0.66</v>
      </c>
      <c r="E711" s="40">
        <f>LOG10(E709)</f>
        <v>0.09755811141359795</v>
      </c>
      <c r="F711" s="6">
        <f>STDEV(G705:G712)</f>
        <v>0.10478405546706976</v>
      </c>
      <c r="G711" s="3">
        <f t="shared" si="159"/>
        <v>-0.1804560644581313</v>
      </c>
      <c r="L711">
        <v>24</v>
      </c>
      <c r="M711">
        <v>35</v>
      </c>
      <c r="N711" s="3">
        <f t="shared" si="160"/>
        <v>1.0788096613719302</v>
      </c>
      <c r="P711" s="40">
        <f>LOG10(P709)</f>
        <v>0.16408767042688976</v>
      </c>
      <c r="Q711" s="94">
        <f>STDEV(R705:R712)</f>
        <v>0.18387883603602373</v>
      </c>
      <c r="R711" s="3">
        <f t="shared" si="161"/>
        <v>0.03294482715954156</v>
      </c>
    </row>
    <row r="713" spans="1:12" ht="12.75">
      <c r="A713" s="58" t="s">
        <v>421</v>
      </c>
      <c r="L713" s="58" t="s">
        <v>421</v>
      </c>
    </row>
    <row r="714" spans="1:12" ht="12.75">
      <c r="A714" s="59" t="s">
        <v>252</v>
      </c>
      <c r="L714" s="59" t="s">
        <v>252</v>
      </c>
    </row>
    <row r="715" spans="1:18" ht="12.75">
      <c r="A715" t="s">
        <v>127</v>
      </c>
      <c r="B715" t="s">
        <v>509</v>
      </c>
      <c r="C715" t="s">
        <v>414</v>
      </c>
      <c r="D715" t="s">
        <v>519</v>
      </c>
      <c r="E715" t="s">
        <v>598</v>
      </c>
      <c r="G715" t="s">
        <v>207</v>
      </c>
      <c r="L715" t="s">
        <v>127</v>
      </c>
      <c r="M715" t="s">
        <v>509</v>
      </c>
      <c r="N715" t="s">
        <v>414</v>
      </c>
      <c r="O715" t="s">
        <v>519</v>
      </c>
      <c r="P715" t="s">
        <v>598</v>
      </c>
      <c r="R715" t="s">
        <v>207</v>
      </c>
    </row>
    <row r="716" spans="1:18" ht="12.75">
      <c r="A716">
        <v>5</v>
      </c>
      <c r="B716">
        <v>26</v>
      </c>
      <c r="C716" s="3">
        <v>0.87</v>
      </c>
      <c r="D716" s="60">
        <f>COUNT(C716:C722)</f>
        <v>7</v>
      </c>
      <c r="E716" s="3">
        <f>AVERAGE(C716:C722)</f>
        <v>0.7428571428571428</v>
      </c>
      <c r="G716" s="3">
        <f aca="true" t="shared" si="162" ref="G716:G722">LOG10(C716)</f>
        <v>-0.060480747381381476</v>
      </c>
      <c r="L716">
        <v>5</v>
      </c>
      <c r="M716">
        <v>26</v>
      </c>
      <c r="N716" s="3">
        <f aca="true" t="shared" si="163" ref="N716:N722">-LN(1-C716)</f>
        <v>2.0402208285265546</v>
      </c>
      <c r="O716" s="60">
        <f>COUNT(N716:N722)</f>
        <v>7</v>
      </c>
      <c r="P716" s="3">
        <f>AVERAGE(N716:N722)</f>
        <v>1.4518946134505502</v>
      </c>
      <c r="R716" s="3">
        <f aca="true" t="shared" si="164" ref="R716:R722">LOG10(N716)</f>
        <v>0.30967717694555646</v>
      </c>
    </row>
    <row r="717" spans="1:18" ht="12.75">
      <c r="A717">
        <v>11</v>
      </c>
      <c r="B717">
        <v>27</v>
      </c>
      <c r="C717" s="3">
        <v>0.54</v>
      </c>
      <c r="E717" t="s">
        <v>431</v>
      </c>
      <c r="G717" s="3">
        <f t="shared" si="162"/>
        <v>-0.2676062401770315</v>
      </c>
      <c r="L717">
        <v>11</v>
      </c>
      <c r="M717">
        <v>27</v>
      </c>
      <c r="N717" s="3">
        <f t="shared" si="163"/>
        <v>0.7765287894989965</v>
      </c>
      <c r="P717" t="s">
        <v>431</v>
      </c>
      <c r="R717" s="3">
        <f t="shared" si="164"/>
        <v>-0.1098424383400924</v>
      </c>
    </row>
    <row r="718" spans="1:18" ht="12.75">
      <c r="A718">
        <v>15</v>
      </c>
      <c r="B718">
        <v>40</v>
      </c>
      <c r="C718" s="3">
        <v>0.86</v>
      </c>
      <c r="E718" s="3">
        <f>STDEV(C716:C722)</f>
        <v>0.11968211864689636</v>
      </c>
      <c r="G718" s="3">
        <f t="shared" si="162"/>
        <v>-0.06550154875643228</v>
      </c>
      <c r="L718">
        <v>15</v>
      </c>
      <c r="M718">
        <v>40</v>
      </c>
      <c r="N718" s="3">
        <f t="shared" si="163"/>
        <v>1.9661128563728327</v>
      </c>
      <c r="P718" s="3">
        <f>STDEV(N716:N722)</f>
        <v>0.47056480850381166</v>
      </c>
      <c r="R718" s="3">
        <f t="shared" si="164"/>
        <v>0.29360844304507566</v>
      </c>
    </row>
    <row r="719" spans="1:18" ht="12.75">
      <c r="A719">
        <f>A718+1</f>
        <v>16</v>
      </c>
      <c r="B719">
        <v>40</v>
      </c>
      <c r="C719" s="3">
        <v>0.81</v>
      </c>
      <c r="E719" t="s">
        <v>126</v>
      </c>
      <c r="F719" s="89" t="s">
        <v>323</v>
      </c>
      <c r="G719" s="3">
        <f t="shared" si="162"/>
        <v>-0.09151498112135022</v>
      </c>
      <c r="L719">
        <f>L718+1</f>
        <v>16</v>
      </c>
      <c r="M719">
        <v>40</v>
      </c>
      <c r="N719" s="3">
        <f t="shared" si="163"/>
        <v>1.660731206821651</v>
      </c>
      <c r="P719" t="s">
        <v>126</v>
      </c>
      <c r="Q719" s="89" t="s">
        <v>323</v>
      </c>
      <c r="R719" s="3">
        <f t="shared" si="164"/>
        <v>0.22029934657507477</v>
      </c>
    </row>
    <row r="720" spans="1:18" ht="12.75">
      <c r="A720">
        <v>20</v>
      </c>
      <c r="B720">
        <v>28</v>
      </c>
      <c r="C720" s="3">
        <v>0.69</v>
      </c>
      <c r="E720" s="3">
        <f>EXP(SQRT(LN(POWER(E718,2)/POWER(E716,2)+1)))</f>
        <v>1.1736041931700427</v>
      </c>
      <c r="F720" s="90">
        <f>F722/E722</f>
        <v>1.0678325910360718</v>
      </c>
      <c r="G720" s="3">
        <f t="shared" si="162"/>
        <v>-0.1611509092627447</v>
      </c>
      <c r="L720">
        <v>20</v>
      </c>
      <c r="M720">
        <v>28</v>
      </c>
      <c r="N720" s="3">
        <f t="shared" si="163"/>
        <v>1.1711829815029449</v>
      </c>
      <c r="P720" s="3">
        <f>EXP(SQRT(LN(POWER(P718,2)/POWER(P716,2)+1)))</f>
        <v>1.3716923129388932</v>
      </c>
      <c r="Q720" s="90">
        <f>Q722/P722</f>
        <v>1.1071202496324126</v>
      </c>
      <c r="R720" s="3">
        <f t="shared" si="164"/>
        <v>0.06862475301327431</v>
      </c>
    </row>
    <row r="721" spans="1:18" ht="12.75">
      <c r="A721">
        <f>A720+1</f>
        <v>21</v>
      </c>
      <c r="B721">
        <v>35</v>
      </c>
      <c r="C721" s="3">
        <v>0.66</v>
      </c>
      <c r="E721" t="s">
        <v>384</v>
      </c>
      <c r="F721" t="s">
        <v>384</v>
      </c>
      <c r="G721" s="3">
        <f t="shared" si="162"/>
        <v>-0.1804560644581313</v>
      </c>
      <c r="L721">
        <f>L720+1</f>
        <v>21</v>
      </c>
      <c r="M721">
        <v>35</v>
      </c>
      <c r="N721" s="3">
        <f t="shared" si="163"/>
        <v>1.0788096613719302</v>
      </c>
      <c r="P721" t="s">
        <v>384</v>
      </c>
      <c r="Q721" t="s">
        <v>384</v>
      </c>
      <c r="R721" s="3">
        <f t="shared" si="164"/>
        <v>0.03294482715954156</v>
      </c>
    </row>
    <row r="722" spans="1:18" ht="12.75">
      <c r="A722">
        <v>24</v>
      </c>
      <c r="B722">
        <v>35</v>
      </c>
      <c r="C722" s="3">
        <v>0.77</v>
      </c>
      <c r="E722" s="40">
        <f>LOG10(E720)</f>
        <v>0.06952165252861242</v>
      </c>
      <c r="F722" s="6">
        <f>STDEV(G716:G723)</f>
        <v>0.07423748635273766</v>
      </c>
      <c r="G722" s="3">
        <f t="shared" si="162"/>
        <v>-0.11350927482751812</v>
      </c>
      <c r="L722">
        <v>24</v>
      </c>
      <c r="M722">
        <v>35</v>
      </c>
      <c r="N722" s="3">
        <f t="shared" si="163"/>
        <v>1.4696759700589417</v>
      </c>
      <c r="P722" s="40">
        <f>LOG10(P720)</f>
        <v>0.1372567048264774</v>
      </c>
      <c r="Q722" s="94">
        <f>STDEV(R716:R723)</f>
        <v>0.15195967731121202</v>
      </c>
      <c r="R722" s="3">
        <f t="shared" si="164"/>
        <v>0.16722159330090347</v>
      </c>
    </row>
    <row r="724" spans="1:12" ht="12.75">
      <c r="A724" s="58" t="s">
        <v>421</v>
      </c>
      <c r="L724" s="58" t="s">
        <v>421</v>
      </c>
    </row>
    <row r="725" spans="1:12" ht="12.75">
      <c r="A725" s="59" t="s">
        <v>253</v>
      </c>
      <c r="L725" s="59" t="s">
        <v>253</v>
      </c>
    </row>
    <row r="726" spans="1:18" ht="12.75">
      <c r="A726" t="s">
        <v>127</v>
      </c>
      <c r="B726" t="s">
        <v>509</v>
      </c>
      <c r="C726" t="s">
        <v>414</v>
      </c>
      <c r="D726" t="s">
        <v>519</v>
      </c>
      <c r="E726" t="s">
        <v>598</v>
      </c>
      <c r="G726" t="s">
        <v>207</v>
      </c>
      <c r="L726" t="s">
        <v>127</v>
      </c>
      <c r="M726" t="s">
        <v>509</v>
      </c>
      <c r="N726" t="s">
        <v>414</v>
      </c>
      <c r="O726" t="s">
        <v>519</v>
      </c>
      <c r="P726" t="s">
        <v>598</v>
      </c>
      <c r="R726" t="s">
        <v>207</v>
      </c>
    </row>
    <row r="727" spans="1:18" ht="12.75">
      <c r="A727">
        <v>5</v>
      </c>
      <c r="B727">
        <v>26</v>
      </c>
      <c r="C727" s="3">
        <v>0.69</v>
      </c>
      <c r="D727" s="60">
        <f>COUNT(C727:C733)</f>
        <v>7</v>
      </c>
      <c r="E727" s="3">
        <f>AVERAGE(C727:C733)</f>
        <v>0.5521428571428572</v>
      </c>
      <c r="G727" s="3">
        <f aca="true" t="shared" si="165" ref="G727:G733">LOG10(C727)</f>
        <v>-0.1611509092627447</v>
      </c>
      <c r="L727">
        <v>5</v>
      </c>
      <c r="M727">
        <v>26</v>
      </c>
      <c r="N727" s="3">
        <f aca="true" t="shared" si="166" ref="N727:N733">-LN(1-C727)</f>
        <v>1.1711829815029449</v>
      </c>
      <c r="O727" s="60">
        <f>COUNT(N727:N733)</f>
        <v>7</v>
      </c>
      <c r="P727" s="3">
        <f>AVERAGE(N727:N733)</f>
        <v>0.8285334037307317</v>
      </c>
      <c r="R727" s="3">
        <f aca="true" t="shared" si="167" ref="R727:R733">LOG10(N727)</f>
        <v>0.06862475301327431</v>
      </c>
    </row>
    <row r="728" spans="1:18" ht="12.75">
      <c r="A728">
        <v>11</v>
      </c>
      <c r="B728">
        <v>27</v>
      </c>
      <c r="C728" s="3">
        <v>0.37</v>
      </c>
      <c r="E728" t="s">
        <v>431</v>
      </c>
      <c r="G728" s="3">
        <f t="shared" si="165"/>
        <v>-0.431798275933005</v>
      </c>
      <c r="L728">
        <v>11</v>
      </c>
      <c r="M728">
        <v>27</v>
      </c>
      <c r="N728" s="3">
        <f t="shared" si="166"/>
        <v>0.4620354595965587</v>
      </c>
      <c r="P728" t="s">
        <v>431</v>
      </c>
      <c r="R728" s="3">
        <f t="shared" si="167"/>
        <v>-0.33532469259072195</v>
      </c>
    </row>
    <row r="729" spans="1:18" ht="12.75">
      <c r="A729">
        <v>15</v>
      </c>
      <c r="B729">
        <v>40</v>
      </c>
      <c r="C729" s="3">
        <v>0.67</v>
      </c>
      <c r="E729" s="3">
        <f>STDEV(C727:C733)</f>
        <v>0.10796824930109261</v>
      </c>
      <c r="G729" s="3">
        <f t="shared" si="165"/>
        <v>-0.17392519729917352</v>
      </c>
      <c r="L729">
        <v>15</v>
      </c>
      <c r="M729">
        <v>40</v>
      </c>
      <c r="N729" s="3">
        <f t="shared" si="166"/>
        <v>1.1086626245216111</v>
      </c>
      <c r="P729" s="3">
        <f>STDEV(N727:N733)</f>
        <v>0.2442641546220224</v>
      </c>
      <c r="R729" s="3">
        <f t="shared" si="167"/>
        <v>0.04479940674427135</v>
      </c>
    </row>
    <row r="730" spans="1:18" ht="12.75">
      <c r="A730">
        <f>A729+1</f>
        <v>16</v>
      </c>
      <c r="B730">
        <v>40</v>
      </c>
      <c r="C730" s="3">
        <v>0.54</v>
      </c>
      <c r="E730" t="s">
        <v>126</v>
      </c>
      <c r="F730" s="89" t="s">
        <v>323</v>
      </c>
      <c r="G730" s="3">
        <f t="shared" si="165"/>
        <v>-0.2676062401770315</v>
      </c>
      <c r="L730">
        <f>L729+1</f>
        <v>16</v>
      </c>
      <c r="M730">
        <v>40</v>
      </c>
      <c r="N730" s="3">
        <f t="shared" si="166"/>
        <v>0.7765287894989965</v>
      </c>
      <c r="P730" t="s">
        <v>126</v>
      </c>
      <c r="Q730" s="89" t="s">
        <v>323</v>
      </c>
      <c r="R730" s="3">
        <f t="shared" si="167"/>
        <v>-0.1098424383400924</v>
      </c>
    </row>
    <row r="731" spans="1:18" ht="12.75">
      <c r="A731">
        <v>20</v>
      </c>
      <c r="B731">
        <v>28</v>
      </c>
      <c r="C731" s="3">
        <v>0.495</v>
      </c>
      <c r="E731" s="3">
        <f>EXP(SQRT(LN(POWER(E729,2)/POWER(E727,2)+1)))</f>
        <v>1.2137473020944103</v>
      </c>
      <c r="F731" s="90">
        <f>F733/E733</f>
        <v>1.0727779279343908</v>
      </c>
      <c r="G731" s="3">
        <f t="shared" si="165"/>
        <v>-0.30539480106643124</v>
      </c>
      <c r="L731">
        <v>20</v>
      </c>
      <c r="M731">
        <v>28</v>
      </c>
      <c r="N731" s="3">
        <f t="shared" si="166"/>
        <v>0.6831968497067772</v>
      </c>
      <c r="P731" s="3">
        <f>EXP(SQRT(LN(POWER(P729,2)/POWER(P727,2)+1)))</f>
        <v>1.3346833637952904</v>
      </c>
      <c r="Q731" s="90">
        <f>Q733/P733</f>
        <v>1.0790531837954962</v>
      </c>
      <c r="R731" s="3">
        <f t="shared" si="167"/>
        <v>-0.16545414489240817</v>
      </c>
    </row>
    <row r="732" spans="1:18" ht="12.75">
      <c r="A732">
        <f>A731+1</f>
        <v>21</v>
      </c>
      <c r="B732">
        <v>35</v>
      </c>
      <c r="C732" s="3">
        <v>0.565</v>
      </c>
      <c r="E732" t="s">
        <v>384</v>
      </c>
      <c r="F732" t="s">
        <v>384</v>
      </c>
      <c r="G732" s="3">
        <f t="shared" si="165"/>
        <v>-0.2479515521805615</v>
      </c>
      <c r="L732">
        <f>L731+1</f>
        <v>21</v>
      </c>
      <c r="M732">
        <v>35</v>
      </c>
      <c r="N732" s="3">
        <f t="shared" si="166"/>
        <v>0.8324092478934528</v>
      </c>
      <c r="P732" t="s">
        <v>384</v>
      </c>
      <c r="Q732" t="s">
        <v>384</v>
      </c>
      <c r="R732" s="3">
        <f t="shared" si="167"/>
        <v>-0.07966310351232618</v>
      </c>
    </row>
    <row r="733" spans="1:18" ht="12.75">
      <c r="A733">
        <v>24</v>
      </c>
      <c r="B733">
        <v>35</v>
      </c>
      <c r="C733" s="3">
        <v>0.535</v>
      </c>
      <c r="E733" s="40">
        <f>LOG10(E731)</f>
        <v>0.08412827757162253</v>
      </c>
      <c r="F733" s="94">
        <f>STDEV(G727:G734)</f>
        <v>0.09025095929397449</v>
      </c>
      <c r="G733" s="3">
        <f t="shared" si="165"/>
        <v>-0.27164621797877153</v>
      </c>
      <c r="L733">
        <v>24</v>
      </c>
      <c r="M733">
        <v>35</v>
      </c>
      <c r="N733" s="3">
        <f t="shared" si="166"/>
        <v>0.7657178733947808</v>
      </c>
      <c r="P733" s="40">
        <f>LOG10(P731)</f>
        <v>0.1253782472235822</v>
      </c>
      <c r="Q733" s="94">
        <f>STDEV(R727:R734)</f>
        <v>0.1352897968453052</v>
      </c>
      <c r="R733" s="3">
        <f t="shared" si="167"/>
        <v>-0.1159312154813111</v>
      </c>
    </row>
    <row r="735" spans="1:12" ht="12.75">
      <c r="A735" s="58" t="s">
        <v>421</v>
      </c>
      <c r="L735" s="58" t="s">
        <v>421</v>
      </c>
    </row>
    <row r="736" spans="1:12" ht="12.75">
      <c r="A736" s="59" t="s">
        <v>343</v>
      </c>
      <c r="L736" s="59" t="s">
        <v>343</v>
      </c>
    </row>
    <row r="737" spans="1:18" ht="12.75">
      <c r="A737" t="s">
        <v>127</v>
      </c>
      <c r="B737" t="s">
        <v>509</v>
      </c>
      <c r="C737" t="s">
        <v>414</v>
      </c>
      <c r="D737" t="s">
        <v>519</v>
      </c>
      <c r="E737" t="s">
        <v>598</v>
      </c>
      <c r="G737" t="s">
        <v>207</v>
      </c>
      <c r="L737" t="s">
        <v>127</v>
      </c>
      <c r="M737" t="s">
        <v>509</v>
      </c>
      <c r="N737" t="s">
        <v>414</v>
      </c>
      <c r="O737" t="s">
        <v>519</v>
      </c>
      <c r="P737" t="s">
        <v>598</v>
      </c>
      <c r="R737" t="s">
        <v>207</v>
      </c>
    </row>
    <row r="738" spans="1:18" ht="12.75">
      <c r="A738">
        <v>5</v>
      </c>
      <c r="B738">
        <v>26</v>
      </c>
      <c r="C738" s="3">
        <v>0.85</v>
      </c>
      <c r="D738" s="60">
        <f>COUNT(C738:C744)</f>
        <v>7</v>
      </c>
      <c r="E738" s="3">
        <f>AVERAGE(C738:C744)</f>
        <v>0.6942857142857142</v>
      </c>
      <c r="G738" s="3">
        <f aca="true" t="shared" si="168" ref="G738:G744">LOG10(C738)</f>
        <v>-0.07058107428570726</v>
      </c>
      <c r="L738">
        <v>5</v>
      </c>
      <c r="M738">
        <v>26</v>
      </c>
      <c r="N738" s="3">
        <f aca="true" t="shared" si="169" ref="N738:N744">-LN(1-C738)</f>
        <v>1.8971199848858813</v>
      </c>
      <c r="O738" s="60">
        <f>COUNT(N738:N744)</f>
        <v>7</v>
      </c>
      <c r="P738" s="3">
        <f>AVERAGE(N738:N744)</f>
        <v>1.275320513706692</v>
      </c>
      <c r="R738" s="3">
        <f aca="true" t="shared" si="170" ref="R738:R744">LOG10(N738)</f>
        <v>0.2780947990626133</v>
      </c>
    </row>
    <row r="739" spans="1:18" ht="12.75">
      <c r="A739">
        <v>11</v>
      </c>
      <c r="B739">
        <v>27</v>
      </c>
      <c r="C739" s="3">
        <v>0.58</v>
      </c>
      <c r="E739" t="s">
        <v>431</v>
      </c>
      <c r="G739" s="3">
        <f t="shared" si="168"/>
        <v>-0.23657200643706278</v>
      </c>
      <c r="L739">
        <v>11</v>
      </c>
      <c r="M739">
        <v>27</v>
      </c>
      <c r="N739" s="3">
        <f t="shared" si="169"/>
        <v>0.867500567704723</v>
      </c>
      <c r="P739" t="s">
        <v>431</v>
      </c>
      <c r="R739" s="3">
        <f t="shared" si="170"/>
        <v>-0.061730232328503255</v>
      </c>
    </row>
    <row r="740" spans="1:18" ht="12.75">
      <c r="A740">
        <v>15</v>
      </c>
      <c r="B740">
        <v>40</v>
      </c>
      <c r="C740" s="3">
        <v>0.835</v>
      </c>
      <c r="E740" s="3">
        <f>STDEV(C738:C744)</f>
        <v>0.1316696804959478</v>
      </c>
      <c r="G740" s="3">
        <f t="shared" si="168"/>
        <v>-0.07831352451639793</v>
      </c>
      <c r="L740">
        <v>15</v>
      </c>
      <c r="M740">
        <v>40</v>
      </c>
      <c r="N740" s="3">
        <f t="shared" si="169"/>
        <v>1.801809805081556</v>
      </c>
      <c r="P740" s="3">
        <f>STDEV(N738:N744)</f>
        <v>0.47271474183148454</v>
      </c>
      <c r="R740" s="3">
        <f t="shared" si="170"/>
        <v>0.25570894593106963</v>
      </c>
    </row>
    <row r="741" spans="1:18" ht="12.75">
      <c r="A741">
        <f>A740+1</f>
        <v>16</v>
      </c>
      <c r="B741">
        <v>40</v>
      </c>
      <c r="C741" s="3">
        <v>0.79</v>
      </c>
      <c r="E741" t="s">
        <v>126</v>
      </c>
      <c r="F741" s="89" t="s">
        <v>323</v>
      </c>
      <c r="G741" s="3">
        <f t="shared" si="168"/>
        <v>-0.10237290870955855</v>
      </c>
      <c r="L741">
        <f>L740+1</f>
        <v>16</v>
      </c>
      <c r="M741">
        <v>40</v>
      </c>
      <c r="N741" s="3">
        <f t="shared" si="169"/>
        <v>1.5606477482646686</v>
      </c>
      <c r="P741" t="s">
        <v>126</v>
      </c>
      <c r="Q741" s="89" t="s">
        <v>323</v>
      </c>
      <c r="R741" s="3">
        <f t="shared" si="170"/>
        <v>0.19330489009113996</v>
      </c>
    </row>
    <row r="742" spans="1:18" ht="12.75">
      <c r="A742">
        <v>20</v>
      </c>
      <c r="B742">
        <v>28</v>
      </c>
      <c r="C742" s="3">
        <v>0.6</v>
      </c>
      <c r="E742" s="3">
        <f>EXP(SQRT(LN(POWER(E740,2)/POWER(E738,2)+1)))</f>
        <v>1.2068032202236787</v>
      </c>
      <c r="F742" s="90">
        <f>F744/E744</f>
        <v>1.0236395887857044</v>
      </c>
      <c r="G742" s="3">
        <f t="shared" si="168"/>
        <v>-0.22184874961635637</v>
      </c>
      <c r="L742">
        <v>20</v>
      </c>
      <c r="M742">
        <v>28</v>
      </c>
      <c r="N742" s="3">
        <f t="shared" si="169"/>
        <v>0.916290731874155</v>
      </c>
      <c r="P742" s="3">
        <f>EXP(SQRT(LN(POWER(P740,2)/POWER(P738,2)+1)))</f>
        <v>1.4316103897576924</v>
      </c>
      <c r="Q742" s="90">
        <f>Q744/P744</f>
        <v>1.0506901881113184</v>
      </c>
      <c r="R742" s="3">
        <f t="shared" si="170"/>
        <v>-0.03796670622803395</v>
      </c>
    </row>
    <row r="743" spans="1:18" ht="12.75">
      <c r="A743">
        <f>A742+1</f>
        <v>21</v>
      </c>
      <c r="B743">
        <v>35</v>
      </c>
      <c r="C743" s="3">
        <v>0.525</v>
      </c>
      <c r="E743" t="s">
        <v>384</v>
      </c>
      <c r="F743" t="s">
        <v>384</v>
      </c>
      <c r="G743" s="3">
        <f t="shared" si="168"/>
        <v>-0.2798406965940431</v>
      </c>
      <c r="L743">
        <f>L742+1</f>
        <v>21</v>
      </c>
      <c r="M743">
        <v>35</v>
      </c>
      <c r="N743" s="3">
        <f t="shared" si="169"/>
        <v>0.7444404749474959</v>
      </c>
      <c r="P743" t="s">
        <v>384</v>
      </c>
      <c r="Q743" t="s">
        <v>384</v>
      </c>
      <c r="R743" s="3">
        <f t="shared" si="170"/>
        <v>-0.1281700224723718</v>
      </c>
    </row>
    <row r="744" spans="1:18" ht="12.75">
      <c r="A744">
        <v>24</v>
      </c>
      <c r="B744">
        <v>35</v>
      </c>
      <c r="C744" s="3">
        <v>0.68</v>
      </c>
      <c r="E744" s="40">
        <f>LOG10(E742)</f>
        <v>0.08163646037228148</v>
      </c>
      <c r="F744" s="6">
        <f>STDEV(G738:G745)</f>
        <v>0.08356631272540266</v>
      </c>
      <c r="G744" s="3">
        <f t="shared" si="168"/>
        <v>-0.1674910872937637</v>
      </c>
      <c r="L744">
        <v>24</v>
      </c>
      <c r="M744">
        <v>35</v>
      </c>
      <c r="N744" s="3">
        <f t="shared" si="169"/>
        <v>1.139434283188365</v>
      </c>
      <c r="P744" s="40">
        <f>LOG10(P742)</f>
        <v>0.15582484157467288</v>
      </c>
      <c r="Q744" s="94">
        <f>STDEV(R738:R745)</f>
        <v>0.16372363210650945</v>
      </c>
      <c r="R744" s="3">
        <f t="shared" si="170"/>
        <v>0.056689282327557225</v>
      </c>
    </row>
    <row r="746" spans="1:12" ht="12.75">
      <c r="A746" s="58" t="s">
        <v>421</v>
      </c>
      <c r="L746" s="58" t="s">
        <v>421</v>
      </c>
    </row>
    <row r="747" spans="1:12" ht="12.75">
      <c r="A747" s="59" t="s">
        <v>99</v>
      </c>
      <c r="L747" s="59" t="s">
        <v>99</v>
      </c>
    </row>
    <row r="748" spans="1:18" ht="12.75">
      <c r="A748" t="s">
        <v>127</v>
      </c>
      <c r="B748" t="s">
        <v>509</v>
      </c>
      <c r="C748" t="s">
        <v>414</v>
      </c>
      <c r="D748" t="s">
        <v>519</v>
      </c>
      <c r="E748" t="s">
        <v>598</v>
      </c>
      <c r="G748" t="s">
        <v>207</v>
      </c>
      <c r="L748" t="s">
        <v>127</v>
      </c>
      <c r="M748" t="s">
        <v>509</v>
      </c>
      <c r="N748" t="s">
        <v>414</v>
      </c>
      <c r="O748" t="s">
        <v>519</v>
      </c>
      <c r="P748" t="s">
        <v>598</v>
      </c>
      <c r="R748" t="s">
        <v>207</v>
      </c>
    </row>
    <row r="749" spans="1:18" ht="12.75">
      <c r="A749">
        <v>5</v>
      </c>
      <c r="B749">
        <v>26</v>
      </c>
      <c r="C749" s="3">
        <v>0.89</v>
      </c>
      <c r="D749" s="60">
        <f>COUNT(C749:C755)</f>
        <v>7</v>
      </c>
      <c r="E749" s="3">
        <f>AVERAGE(C749:C755)</f>
        <v>0.775</v>
      </c>
      <c r="G749" s="3">
        <f aca="true" t="shared" si="171" ref="G749:G755">LOG10(C749)</f>
        <v>-0.0506099933550872</v>
      </c>
      <c r="L749">
        <v>5</v>
      </c>
      <c r="M749">
        <v>26</v>
      </c>
      <c r="N749" s="3">
        <f aca="true" t="shared" si="172" ref="N749:N755">-LN(1-C749)</f>
        <v>2.207274913189721</v>
      </c>
      <c r="O749" s="60">
        <f>COUNT(N749:N755)</f>
        <v>7</v>
      </c>
      <c r="P749" s="3">
        <f>AVERAGE(N749:N755)</f>
        <v>1.591848272627723</v>
      </c>
      <c r="R749" s="3">
        <f aca="true" t="shared" si="173" ref="R749:R755">LOG10(N749)</f>
        <v>0.343856427337392</v>
      </c>
    </row>
    <row r="750" spans="1:18" ht="12.75">
      <c r="A750">
        <v>11</v>
      </c>
      <c r="B750">
        <v>27</v>
      </c>
      <c r="C750" s="3">
        <v>0.66</v>
      </c>
      <c r="E750" t="s">
        <v>431</v>
      </c>
      <c r="G750" s="3">
        <f t="shared" si="171"/>
        <v>-0.1804560644581313</v>
      </c>
      <c r="L750">
        <v>11</v>
      </c>
      <c r="M750">
        <v>27</v>
      </c>
      <c r="N750" s="3">
        <f t="shared" si="172"/>
        <v>1.0788096613719302</v>
      </c>
      <c r="P750" t="s">
        <v>431</v>
      </c>
      <c r="R750" s="3">
        <f t="shared" si="173"/>
        <v>0.03294482715954156</v>
      </c>
    </row>
    <row r="751" spans="1:18" ht="12.75">
      <c r="A751">
        <v>15</v>
      </c>
      <c r="B751">
        <v>40</v>
      </c>
      <c r="C751" s="3">
        <v>0.89</v>
      </c>
      <c r="E751" s="3">
        <f>STDEV(C749:C755)</f>
        <v>0.10275375094532291</v>
      </c>
      <c r="G751" s="3">
        <f t="shared" si="171"/>
        <v>-0.0506099933550872</v>
      </c>
      <c r="L751">
        <v>15</v>
      </c>
      <c r="M751">
        <v>40</v>
      </c>
      <c r="N751" s="3">
        <f t="shared" si="172"/>
        <v>2.207274913189721</v>
      </c>
      <c r="P751" s="3">
        <f>STDEV(N749:N755)</f>
        <v>0.4970421888008497</v>
      </c>
      <c r="R751" s="3">
        <f t="shared" si="173"/>
        <v>0.343856427337392</v>
      </c>
    </row>
    <row r="752" spans="1:18" ht="12.75">
      <c r="A752">
        <f>A751+1</f>
        <v>16</v>
      </c>
      <c r="B752">
        <v>40</v>
      </c>
      <c r="C752" s="3">
        <v>0.83</v>
      </c>
      <c r="E752" t="s">
        <v>126</v>
      </c>
      <c r="F752" s="89" t="s">
        <v>323</v>
      </c>
      <c r="G752" s="3">
        <f t="shared" si="171"/>
        <v>-0.0809219076239261</v>
      </c>
      <c r="L752">
        <f>L751+1</f>
        <v>16</v>
      </c>
      <c r="M752">
        <v>40</v>
      </c>
      <c r="N752" s="3">
        <f t="shared" si="172"/>
        <v>1.771956841931875</v>
      </c>
      <c r="P752" t="s">
        <v>126</v>
      </c>
      <c r="Q752" s="89" t="s">
        <v>323</v>
      </c>
      <c r="R752" s="3">
        <f t="shared" si="173"/>
        <v>0.24845313993303417</v>
      </c>
    </row>
    <row r="753" spans="1:18" ht="12.75">
      <c r="A753">
        <v>20</v>
      </c>
      <c r="B753">
        <v>28</v>
      </c>
      <c r="C753" s="3">
        <v>0.7</v>
      </c>
      <c r="E753" s="3">
        <f>EXP(SQRT(LN(POWER(E751,2)/POWER(E749,2)+1)))</f>
        <v>1.141117780677713</v>
      </c>
      <c r="F753" s="90">
        <f>F755/E755</f>
        <v>1.0165402626987332</v>
      </c>
      <c r="G753" s="3">
        <f t="shared" si="171"/>
        <v>-0.15490195998574316</v>
      </c>
      <c r="L753">
        <v>20</v>
      </c>
      <c r="M753">
        <v>28</v>
      </c>
      <c r="N753" s="3">
        <f t="shared" si="172"/>
        <v>1.203972804325936</v>
      </c>
      <c r="P753" s="3">
        <f>EXP(SQRT(LN(POWER(P751,2)/POWER(P749,2)+1)))</f>
        <v>1.3566371862604405</v>
      </c>
      <c r="Q753" s="90">
        <f>Q755/P755</f>
        <v>1.040223421460261</v>
      </c>
      <c r="R753" s="3">
        <f t="shared" si="173"/>
        <v>0.08061667706751091</v>
      </c>
    </row>
    <row r="754" spans="1:18" ht="12.75">
      <c r="A754">
        <f>A753+1</f>
        <v>21</v>
      </c>
      <c r="B754">
        <v>35</v>
      </c>
      <c r="C754" s="3">
        <v>0.655</v>
      </c>
      <c r="E754" t="s">
        <v>384</v>
      </c>
      <c r="F754" t="s">
        <v>384</v>
      </c>
      <c r="G754" s="3">
        <f t="shared" si="171"/>
        <v>-0.1837587000082169</v>
      </c>
      <c r="L754">
        <f>L753+1</f>
        <v>21</v>
      </c>
      <c r="M754">
        <v>35</v>
      </c>
      <c r="N754" s="3">
        <f t="shared" si="172"/>
        <v>1.0642108619507773</v>
      </c>
      <c r="P754" t="s">
        <v>384</v>
      </c>
      <c r="Q754" t="s">
        <v>384</v>
      </c>
      <c r="R754" s="3">
        <f t="shared" si="173"/>
        <v>0.02702768727166877</v>
      </c>
    </row>
    <row r="755" spans="1:18" ht="12.75">
      <c r="A755">
        <v>24</v>
      </c>
      <c r="B755">
        <v>35</v>
      </c>
      <c r="C755" s="3">
        <v>0.8</v>
      </c>
      <c r="E755" s="40">
        <f>LOG10(E753)</f>
        <v>0.05733047251506759</v>
      </c>
      <c r="F755" s="6">
        <f>STDEV(G749:G756)</f>
        <v>0.058278733591109314</v>
      </c>
      <c r="G755" s="3">
        <f t="shared" si="171"/>
        <v>-0.09691001300805638</v>
      </c>
      <c r="L755">
        <v>24</v>
      </c>
      <c r="M755">
        <v>35</v>
      </c>
      <c r="N755" s="3">
        <f t="shared" si="172"/>
        <v>1.6094379124341005</v>
      </c>
      <c r="P755" s="40">
        <f>LOG10(P753)</f>
        <v>0.13246371717126496</v>
      </c>
      <c r="Q755" s="94">
        <f>STDEV(R749:R756)</f>
        <v>0.13779186109523756</v>
      </c>
      <c r="R755" s="3">
        <f t="shared" si="173"/>
        <v>0.20667422749111897</v>
      </c>
    </row>
    <row r="757" spans="1:12" ht="15.75">
      <c r="A757" s="61" t="s">
        <v>344</v>
      </c>
      <c r="L757" s="61" t="s">
        <v>344</v>
      </c>
    </row>
    <row r="758" spans="1:12" ht="12.75">
      <c r="A758" s="58" t="s">
        <v>345</v>
      </c>
      <c r="L758" s="58" t="s">
        <v>345</v>
      </c>
    </row>
    <row r="760" spans="1:12" ht="12.75">
      <c r="A760" s="59" t="s">
        <v>463</v>
      </c>
      <c r="L760" s="59" t="s">
        <v>463</v>
      </c>
    </row>
    <row r="761" spans="1:18" ht="12.75">
      <c r="A761" t="s">
        <v>127</v>
      </c>
      <c r="B761" t="s">
        <v>509</v>
      </c>
      <c r="C761" t="s">
        <v>414</v>
      </c>
      <c r="G761" t="s">
        <v>207</v>
      </c>
      <c r="L761" t="s">
        <v>127</v>
      </c>
      <c r="M761" t="s">
        <v>509</v>
      </c>
      <c r="N761" t="s">
        <v>414</v>
      </c>
      <c r="R761" t="s">
        <v>207</v>
      </c>
    </row>
    <row r="762" spans="1:18" ht="12.75">
      <c r="A762">
        <v>1</v>
      </c>
      <c r="B762">
        <v>47</v>
      </c>
      <c r="C762" s="3">
        <v>0.275</v>
      </c>
      <c r="G762" s="3">
        <f>LOG10(C762)</f>
        <v>-0.5606673061697373</v>
      </c>
      <c r="L762">
        <v>1</v>
      </c>
      <c r="M762">
        <v>47</v>
      </c>
      <c r="N762" s="3">
        <f aca="true" t="shared" si="174" ref="N762:N776">-LN(1-C762)</f>
        <v>0.32158362412746233</v>
      </c>
      <c r="R762" s="3">
        <f>LOG10(N762)</f>
        <v>-0.4927060747623795</v>
      </c>
    </row>
    <row r="763" spans="1:18" ht="12.75">
      <c r="A763">
        <f>A762+1</f>
        <v>2</v>
      </c>
      <c r="B763">
        <v>43</v>
      </c>
      <c r="C763" s="3">
        <v>0.22</v>
      </c>
      <c r="G763" s="3">
        <f aca="true" t="shared" si="175" ref="G763:G771">LOG10(C763)</f>
        <v>-0.6575773191777937</v>
      </c>
      <c r="L763">
        <f>L762+1</f>
        <v>2</v>
      </c>
      <c r="M763">
        <v>43</v>
      </c>
      <c r="N763" s="3">
        <f t="shared" si="174"/>
        <v>0.24846135929849958</v>
      </c>
      <c r="R763" s="3">
        <f aca="true" t="shared" si="176" ref="R763:R771">LOG10(N763)</f>
        <v>-0.6047411431410941</v>
      </c>
    </row>
    <row r="764" spans="1:18" ht="12.75">
      <c r="A764">
        <v>4</v>
      </c>
      <c r="B764">
        <v>35</v>
      </c>
      <c r="C764" s="3">
        <v>0.28</v>
      </c>
      <c r="G764" s="3">
        <f t="shared" si="175"/>
        <v>-0.5528419686577807</v>
      </c>
      <c r="L764">
        <v>4</v>
      </c>
      <c r="M764">
        <v>35</v>
      </c>
      <c r="N764" s="3">
        <f t="shared" si="174"/>
        <v>0.32850406697203605</v>
      </c>
      <c r="R764" s="3">
        <f t="shared" si="176"/>
        <v>-0.4834592493840182</v>
      </c>
    </row>
    <row r="765" spans="1:18" ht="12.75">
      <c r="A765">
        <f aca="true" t="shared" si="177" ref="A765:A775">A764+1</f>
        <v>5</v>
      </c>
      <c r="B765">
        <v>26</v>
      </c>
      <c r="C765" s="3">
        <v>0.265</v>
      </c>
      <c r="G765" s="3">
        <f t="shared" si="175"/>
        <v>-0.5767541260631921</v>
      </c>
      <c r="L765">
        <f>L764+1</f>
        <v>5</v>
      </c>
      <c r="M765">
        <v>26</v>
      </c>
      <c r="N765" s="3">
        <f t="shared" si="174"/>
        <v>0.3078847797693004</v>
      </c>
      <c r="R765" s="3">
        <f t="shared" si="176"/>
        <v>-0.5116117798385592</v>
      </c>
    </row>
    <row r="766" spans="1:18" ht="12.75">
      <c r="A766">
        <v>8</v>
      </c>
      <c r="B766">
        <v>33</v>
      </c>
      <c r="C766" s="3">
        <v>0.215</v>
      </c>
      <c r="G766" s="3">
        <f t="shared" si="175"/>
        <v>-0.6675615400843947</v>
      </c>
      <c r="L766">
        <v>8</v>
      </c>
      <c r="M766">
        <v>33</v>
      </c>
      <c r="N766" s="3">
        <f t="shared" si="174"/>
        <v>0.24207156119972859</v>
      </c>
      <c r="R766" s="3">
        <f t="shared" si="176"/>
        <v>-0.6160562288957069</v>
      </c>
    </row>
    <row r="767" spans="1:18" ht="12.75">
      <c r="A767">
        <f t="shared" si="177"/>
        <v>9</v>
      </c>
      <c r="B767">
        <v>26</v>
      </c>
      <c r="C767" s="3">
        <v>0.265</v>
      </c>
      <c r="E767" t="s">
        <v>519</v>
      </c>
      <c r="G767" s="3">
        <f t="shared" si="175"/>
        <v>-0.5767541260631921</v>
      </c>
      <c r="L767">
        <f>L766+1</f>
        <v>9</v>
      </c>
      <c r="M767">
        <v>26</v>
      </c>
      <c r="N767" s="3">
        <f t="shared" si="174"/>
        <v>0.3078847797693004</v>
      </c>
      <c r="P767" t="s">
        <v>519</v>
      </c>
      <c r="R767" s="3">
        <f t="shared" si="176"/>
        <v>-0.5116117798385592</v>
      </c>
    </row>
    <row r="768" spans="1:18" ht="12.75">
      <c r="A768">
        <v>11</v>
      </c>
      <c r="B768">
        <v>27</v>
      </c>
      <c r="C768" s="3">
        <v>0.215</v>
      </c>
      <c r="E768">
        <f>COUNT(C762:C776)</f>
        <v>15</v>
      </c>
      <c r="G768" s="3">
        <f t="shared" si="175"/>
        <v>-0.6675615400843947</v>
      </c>
      <c r="L768">
        <v>11</v>
      </c>
      <c r="M768">
        <v>27</v>
      </c>
      <c r="N768" s="3">
        <f t="shared" si="174"/>
        <v>0.24207156119972859</v>
      </c>
      <c r="P768">
        <f>COUNT(N762:N776)</f>
        <v>15</v>
      </c>
      <c r="R768" s="3">
        <f t="shared" si="176"/>
        <v>-0.6160562288957069</v>
      </c>
    </row>
    <row r="769" spans="1:18" ht="12.75">
      <c r="A769">
        <v>15</v>
      </c>
      <c r="B769">
        <v>40</v>
      </c>
      <c r="C769" s="3">
        <v>0.285</v>
      </c>
      <c r="E769" t="s">
        <v>598</v>
      </c>
      <c r="G769" s="3">
        <f t="shared" si="175"/>
        <v>-0.5451551399914898</v>
      </c>
      <c r="L769">
        <v>15</v>
      </c>
      <c r="M769">
        <v>40</v>
      </c>
      <c r="N769" s="3">
        <f t="shared" si="174"/>
        <v>0.3354727362881293</v>
      </c>
      <c r="P769" t="s">
        <v>598</v>
      </c>
      <c r="R769" s="3">
        <f t="shared" si="176"/>
        <v>-0.4743427689696351</v>
      </c>
    </row>
    <row r="770" spans="1:18" ht="12.75">
      <c r="A770">
        <f t="shared" si="177"/>
        <v>16</v>
      </c>
      <c r="B770">
        <v>40</v>
      </c>
      <c r="C770" s="3">
        <v>0.225</v>
      </c>
      <c r="E770" s="3">
        <f>AVERAGE(C762:C776)</f>
        <v>0.2596666666666667</v>
      </c>
      <c r="G770" s="3">
        <f t="shared" si="175"/>
        <v>-0.6478174818886375</v>
      </c>
      <c r="L770">
        <f>L769+1</f>
        <v>16</v>
      </c>
      <c r="M770">
        <v>40</v>
      </c>
      <c r="N770" s="3">
        <f t="shared" si="174"/>
        <v>0.25489224962879004</v>
      </c>
      <c r="P770" s="3">
        <f>AVERAGE(N762:N776)</f>
        <v>0.30385200105121424</v>
      </c>
      <c r="R770" s="3">
        <f t="shared" si="176"/>
        <v>-0.5936433696881349</v>
      </c>
    </row>
    <row r="771" spans="1:18" ht="12.75">
      <c r="A771">
        <f t="shared" si="177"/>
        <v>17</v>
      </c>
      <c r="B771">
        <v>28</v>
      </c>
      <c r="C771" s="3">
        <v>0.41</v>
      </c>
      <c r="E771" t="s">
        <v>431</v>
      </c>
      <c r="G771" s="3">
        <f t="shared" si="175"/>
        <v>-0.38721614328026455</v>
      </c>
      <c r="L771">
        <f>L770+1</f>
        <v>17</v>
      </c>
      <c r="M771">
        <v>28</v>
      </c>
      <c r="N771" s="3">
        <f t="shared" si="174"/>
        <v>0.5276327420823718</v>
      </c>
      <c r="P771" t="s">
        <v>431</v>
      </c>
      <c r="R771" s="3">
        <f t="shared" si="176"/>
        <v>-0.27766826228319447</v>
      </c>
    </row>
    <row r="772" spans="1:18" ht="12.75">
      <c r="A772">
        <v>20</v>
      </c>
      <c r="B772">
        <v>28</v>
      </c>
      <c r="C772" s="3">
        <v>0.195</v>
      </c>
      <c r="E772" s="3">
        <f>STDEV(C762:C776)</f>
        <v>0.05938574464184689</v>
      </c>
      <c r="G772" s="3">
        <f>LOG10(C772)</f>
        <v>-0.7099653886374819</v>
      </c>
      <c r="L772">
        <v>20</v>
      </c>
      <c r="M772">
        <v>28</v>
      </c>
      <c r="N772" s="3">
        <f t="shared" si="174"/>
        <v>0.21691300156357377</v>
      </c>
      <c r="P772" s="3">
        <f>STDEV(N762:N776)</f>
        <v>0.08414191338924262</v>
      </c>
      <c r="R772" s="3">
        <f>LOG10(N772)</f>
        <v>-0.6637144159983027</v>
      </c>
    </row>
    <row r="773" spans="1:18" ht="12.75">
      <c r="A773">
        <f t="shared" si="177"/>
        <v>21</v>
      </c>
      <c r="B773">
        <v>35</v>
      </c>
      <c r="C773" s="3">
        <v>0.185</v>
      </c>
      <c r="E773" t="s">
        <v>126</v>
      </c>
      <c r="F773" s="89" t="s">
        <v>323</v>
      </c>
      <c r="G773" s="3">
        <f>LOG10(C773)</f>
        <v>-0.7328282715969863</v>
      </c>
      <c r="L773">
        <f>L772+1</f>
        <v>21</v>
      </c>
      <c r="M773">
        <v>35</v>
      </c>
      <c r="N773" s="3">
        <f t="shared" si="174"/>
        <v>0.2045671657412744</v>
      </c>
      <c r="P773" t="s">
        <v>126</v>
      </c>
      <c r="Q773" s="89" t="s">
        <v>323</v>
      </c>
      <c r="R773" s="3">
        <f>LOG10(N773)</f>
        <v>-0.6891640719029761</v>
      </c>
    </row>
    <row r="774" spans="1:18" ht="12.75">
      <c r="A774">
        <v>23</v>
      </c>
      <c r="B774">
        <v>26</v>
      </c>
      <c r="C774" s="3">
        <v>0.315</v>
      </c>
      <c r="E774" s="3">
        <f>EXP(SQRT(LN(POWER(E772,2)/POWER(E770,2)+1)))</f>
        <v>1.2533140806027807</v>
      </c>
      <c r="F774" s="90">
        <f>F776/E776</f>
        <v>0.9549922652550124</v>
      </c>
      <c r="G774" s="3">
        <f>LOG10(C774)</f>
        <v>-0.5016894462103995</v>
      </c>
      <c r="L774">
        <v>23</v>
      </c>
      <c r="M774">
        <v>26</v>
      </c>
      <c r="N774" s="3">
        <f t="shared" si="174"/>
        <v>0.3783364407199117</v>
      </c>
      <c r="P774" s="3">
        <f>EXP(SQRT(LN(POWER(P772,2)/POWER(P770,2)+1)))</f>
        <v>1.312348699004843</v>
      </c>
      <c r="Q774" s="90">
        <f>Q776/P776</f>
        <v>0.9371689282294596</v>
      </c>
      <c r="R774" s="3">
        <f>LOG10(N774)</f>
        <v>-0.4221218261897224</v>
      </c>
    </row>
    <row r="775" spans="1:18" ht="12.75">
      <c r="A775">
        <f t="shared" si="177"/>
        <v>24</v>
      </c>
      <c r="B775">
        <v>35</v>
      </c>
      <c r="C775" s="3">
        <v>0.325</v>
      </c>
      <c r="E775" t="s">
        <v>384</v>
      </c>
      <c r="F775" t="s">
        <v>384</v>
      </c>
      <c r="G775" s="3">
        <f>LOG10(C775)</f>
        <v>-0.48811663902112556</v>
      </c>
      <c r="L775">
        <f>L774+1</f>
        <v>24</v>
      </c>
      <c r="M775">
        <v>35</v>
      </c>
      <c r="N775" s="3">
        <f t="shared" si="174"/>
        <v>0.3930425881096072</v>
      </c>
      <c r="P775" t="s">
        <v>384</v>
      </c>
      <c r="Q775" t="s">
        <v>384</v>
      </c>
      <c r="R775" s="3">
        <f>LOG10(N775)</f>
        <v>-0.40556038911845066</v>
      </c>
    </row>
    <row r="776" spans="1:18" ht="12.75">
      <c r="A776">
        <v>25</v>
      </c>
      <c r="B776">
        <v>24</v>
      </c>
      <c r="C776" s="3">
        <v>0.22</v>
      </c>
      <c r="E776" s="40">
        <f>LOG10(E774)</f>
        <v>0.09805991886316225</v>
      </c>
      <c r="F776" s="6">
        <f>STDEV(G762:G776)</f>
        <v>0.09364646404585403</v>
      </c>
      <c r="G776" s="3">
        <f>LOG10(C776)</f>
        <v>-0.6575773191777937</v>
      </c>
      <c r="L776">
        <v>25</v>
      </c>
      <c r="M776">
        <v>24</v>
      </c>
      <c r="N776" s="3">
        <f t="shared" si="174"/>
        <v>0.24846135929849958</v>
      </c>
      <c r="P776" s="40">
        <f>LOG10(P774)</f>
        <v>0.1180492450494447</v>
      </c>
      <c r="Q776" s="178">
        <f>STDEV(R762:R776)</f>
        <v>0.11063208446128493</v>
      </c>
      <c r="R776" s="3">
        <f>LOG10(N776)</f>
        <v>-0.6047411431410941</v>
      </c>
    </row>
    <row r="777" spans="3:18" ht="12.75">
      <c r="C777" s="3"/>
      <c r="G777" s="3"/>
      <c r="N777" s="3"/>
      <c r="R777" s="3"/>
    </row>
    <row r="778" spans="1:12" ht="12.75">
      <c r="A778" s="59" t="s">
        <v>100</v>
      </c>
      <c r="L778" s="59" t="s">
        <v>100</v>
      </c>
    </row>
    <row r="779" spans="1:18" ht="12.75">
      <c r="A779" t="s">
        <v>127</v>
      </c>
      <c r="B779" t="s">
        <v>509</v>
      </c>
      <c r="C779" t="s">
        <v>414</v>
      </c>
      <c r="G779" t="s">
        <v>207</v>
      </c>
      <c r="L779" t="s">
        <v>127</v>
      </c>
      <c r="M779" t="s">
        <v>509</v>
      </c>
      <c r="N779" t="s">
        <v>414</v>
      </c>
      <c r="R779" t="s">
        <v>207</v>
      </c>
    </row>
    <row r="780" spans="1:18" ht="12.75">
      <c r="A780">
        <v>1</v>
      </c>
      <c r="B780">
        <v>47</v>
      </c>
      <c r="C780" s="3">
        <v>0.205</v>
      </c>
      <c r="G780" s="3">
        <f>LOG10(C780)</f>
        <v>-0.6882461389442458</v>
      </c>
      <c r="L780">
        <v>1</v>
      </c>
      <c r="M780">
        <v>47</v>
      </c>
      <c r="N780" s="3">
        <f aca="true" t="shared" si="178" ref="N780:N794">-LN(1-C780)</f>
        <v>0.22941316432780512</v>
      </c>
      <c r="R780" s="3">
        <f>LOG10(N780)</f>
        <v>-0.6393816647656718</v>
      </c>
    </row>
    <row r="781" spans="1:18" ht="12.75">
      <c r="A781">
        <f>A780+1</f>
        <v>2</v>
      </c>
      <c r="B781">
        <v>43</v>
      </c>
      <c r="C781" s="3">
        <v>0.205</v>
      </c>
      <c r="G781" s="3">
        <f aca="true" t="shared" si="179" ref="G781:G789">LOG10(C781)</f>
        <v>-0.6882461389442458</v>
      </c>
      <c r="L781">
        <f>L780+1</f>
        <v>2</v>
      </c>
      <c r="M781">
        <v>43</v>
      </c>
      <c r="N781" s="3">
        <f t="shared" si="178"/>
        <v>0.22941316432780512</v>
      </c>
      <c r="R781" s="3">
        <f aca="true" t="shared" si="180" ref="R781:R789">LOG10(N781)</f>
        <v>-0.6393816647656718</v>
      </c>
    </row>
    <row r="782" spans="1:18" ht="12.75">
      <c r="A782">
        <v>4</v>
      </c>
      <c r="B782">
        <v>35</v>
      </c>
      <c r="C782" s="3">
        <v>0.235</v>
      </c>
      <c r="G782" s="3">
        <f t="shared" si="179"/>
        <v>-0.6289321377282637</v>
      </c>
      <c r="L782">
        <v>4</v>
      </c>
      <c r="M782">
        <v>35</v>
      </c>
      <c r="N782" s="3">
        <f t="shared" si="178"/>
        <v>0.2678794451556012</v>
      </c>
      <c r="R782" s="3">
        <f t="shared" si="180"/>
        <v>-0.5720606092659098</v>
      </c>
    </row>
    <row r="783" spans="1:18" ht="12.75">
      <c r="A783">
        <f>A782+1</f>
        <v>5</v>
      </c>
      <c r="B783">
        <v>26</v>
      </c>
      <c r="C783" s="3">
        <v>0.225</v>
      </c>
      <c r="G783" s="3">
        <f t="shared" si="179"/>
        <v>-0.6478174818886375</v>
      </c>
      <c r="L783">
        <f>L782+1</f>
        <v>5</v>
      </c>
      <c r="M783">
        <v>26</v>
      </c>
      <c r="N783" s="3">
        <f t="shared" si="178"/>
        <v>0.25489224962879004</v>
      </c>
      <c r="R783" s="3">
        <f t="shared" si="180"/>
        <v>-0.5936433696881349</v>
      </c>
    </row>
    <row r="784" spans="1:18" ht="12.75">
      <c r="A784">
        <v>8</v>
      </c>
      <c r="B784">
        <v>33</v>
      </c>
      <c r="C784" s="3">
        <v>0.185</v>
      </c>
      <c r="G784" s="3">
        <f t="shared" si="179"/>
        <v>-0.7328282715969863</v>
      </c>
      <c r="L784">
        <v>8</v>
      </c>
      <c r="M784">
        <v>33</v>
      </c>
      <c r="N784" s="3">
        <f t="shared" si="178"/>
        <v>0.2045671657412744</v>
      </c>
      <c r="R784" s="3">
        <f t="shared" si="180"/>
        <v>-0.6891640719029761</v>
      </c>
    </row>
    <row r="785" spans="1:18" ht="12.75">
      <c r="A785">
        <f>A784+1</f>
        <v>9</v>
      </c>
      <c r="B785">
        <v>26</v>
      </c>
      <c r="C785" s="3">
        <v>0.26</v>
      </c>
      <c r="E785" t="s">
        <v>519</v>
      </c>
      <c r="G785" s="3">
        <f t="shared" si="179"/>
        <v>-0.585026652029182</v>
      </c>
      <c r="L785">
        <f>L784+1</f>
        <v>9</v>
      </c>
      <c r="M785">
        <v>26</v>
      </c>
      <c r="N785" s="3">
        <f t="shared" si="178"/>
        <v>0.30110509278392167</v>
      </c>
      <c r="P785" t="s">
        <v>519</v>
      </c>
      <c r="R785" s="3">
        <f t="shared" si="180"/>
        <v>-0.5212818989234742</v>
      </c>
    </row>
    <row r="786" spans="1:18" ht="12.75">
      <c r="A786">
        <v>11</v>
      </c>
      <c r="B786">
        <v>27</v>
      </c>
      <c r="C786" s="3">
        <v>0.15</v>
      </c>
      <c r="E786">
        <f>COUNT(C780:C794)</f>
        <v>15</v>
      </c>
      <c r="G786" s="3">
        <f t="shared" si="179"/>
        <v>-0.8239087409443188</v>
      </c>
      <c r="L786">
        <v>11</v>
      </c>
      <c r="M786">
        <v>27</v>
      </c>
      <c r="N786" s="3">
        <f t="shared" si="178"/>
        <v>0.1625189294977749</v>
      </c>
      <c r="P786">
        <f>COUNT(N780:N794)</f>
        <v>15</v>
      </c>
      <c r="R786" s="3">
        <f t="shared" si="180"/>
        <v>-0.7890960470073316</v>
      </c>
    </row>
    <row r="787" spans="1:18" ht="12.75">
      <c r="A787">
        <v>15</v>
      </c>
      <c r="B787">
        <v>40</v>
      </c>
      <c r="C787" s="3">
        <v>0.275</v>
      </c>
      <c r="E787" t="s">
        <v>598</v>
      </c>
      <c r="G787" s="3">
        <f t="shared" si="179"/>
        <v>-0.5606673061697373</v>
      </c>
      <c r="L787">
        <v>15</v>
      </c>
      <c r="M787">
        <v>40</v>
      </c>
      <c r="N787" s="3">
        <f t="shared" si="178"/>
        <v>0.32158362412746233</v>
      </c>
      <c r="P787" t="s">
        <v>598</v>
      </c>
      <c r="R787" s="3">
        <f t="shared" si="180"/>
        <v>-0.4927060747623795</v>
      </c>
    </row>
    <row r="788" spans="1:18" ht="12.75">
      <c r="A788">
        <f>A787+1</f>
        <v>16</v>
      </c>
      <c r="B788">
        <v>40</v>
      </c>
      <c r="C788" s="3">
        <v>0.15</v>
      </c>
      <c r="E788" s="3">
        <f>AVERAGE(C780:C794)</f>
        <v>0.21366666666666662</v>
      </c>
      <c r="G788" s="3">
        <f t="shared" si="179"/>
        <v>-0.8239087409443188</v>
      </c>
      <c r="L788">
        <f>L787+1</f>
        <v>16</v>
      </c>
      <c r="M788">
        <v>40</v>
      </c>
      <c r="N788" s="3">
        <f t="shared" si="178"/>
        <v>0.1625189294977749</v>
      </c>
      <c r="P788" s="3">
        <f>AVERAGE(N780:N794)</f>
        <v>0.24312627478962887</v>
      </c>
      <c r="R788" s="3">
        <f t="shared" si="180"/>
        <v>-0.7890960470073316</v>
      </c>
    </row>
    <row r="789" spans="1:18" ht="12.75">
      <c r="A789">
        <f>A788+1</f>
        <v>17</v>
      </c>
      <c r="B789">
        <v>28</v>
      </c>
      <c r="C789" s="3">
        <v>0.3</v>
      </c>
      <c r="E789" t="s">
        <v>431</v>
      </c>
      <c r="G789" s="3">
        <f t="shared" si="179"/>
        <v>-0.5228787452803376</v>
      </c>
      <c r="L789">
        <f>L788+1</f>
        <v>17</v>
      </c>
      <c r="M789">
        <v>28</v>
      </c>
      <c r="N789" s="3">
        <f t="shared" si="178"/>
        <v>0.3566749439387324</v>
      </c>
      <c r="P789" t="s">
        <v>431</v>
      </c>
      <c r="R789" s="3">
        <f t="shared" si="180"/>
        <v>-0.44772739834696257</v>
      </c>
    </row>
    <row r="790" spans="1:18" ht="12.75">
      <c r="A790">
        <v>20</v>
      </c>
      <c r="B790">
        <v>28</v>
      </c>
      <c r="C790" s="3">
        <v>0.15</v>
      </c>
      <c r="E790" s="3">
        <f>STDEV(C780:C794)</f>
        <v>0.06013278956569707</v>
      </c>
      <c r="G790" s="3">
        <f>LOG10(C790)</f>
        <v>-0.8239087409443188</v>
      </c>
      <c r="L790">
        <v>20</v>
      </c>
      <c r="M790">
        <v>28</v>
      </c>
      <c r="N790" s="3">
        <f t="shared" si="178"/>
        <v>0.1625189294977749</v>
      </c>
      <c r="P790" s="3">
        <f>STDEV(N780:N794)</f>
        <v>0.07696815918590805</v>
      </c>
      <c r="R790" s="3">
        <f>LOG10(N790)</f>
        <v>-0.7890960470073316</v>
      </c>
    </row>
    <row r="791" spans="1:18" ht="12.75">
      <c r="A791">
        <f>A790+1</f>
        <v>21</v>
      </c>
      <c r="B791">
        <v>35</v>
      </c>
      <c r="C791" s="3">
        <v>0.11</v>
      </c>
      <c r="E791" t="s">
        <v>126</v>
      </c>
      <c r="F791" s="89" t="s">
        <v>323</v>
      </c>
      <c r="G791" s="3">
        <f>LOG10(C791)</f>
        <v>-0.9586073148417749</v>
      </c>
      <c r="L791">
        <f>L790+1</f>
        <v>21</v>
      </c>
      <c r="M791">
        <v>35</v>
      </c>
      <c r="N791" s="3">
        <f t="shared" si="178"/>
        <v>0.11653381625595151</v>
      </c>
      <c r="P791" t="s">
        <v>126</v>
      </c>
      <c r="Q791" s="89" t="s">
        <v>323</v>
      </c>
      <c r="R791" s="3">
        <f>LOG10(N791)</f>
        <v>-0.9335480310130718</v>
      </c>
    </row>
    <row r="792" spans="1:18" ht="12.75">
      <c r="A792">
        <v>23</v>
      </c>
      <c r="B792">
        <v>26</v>
      </c>
      <c r="C792" s="3">
        <v>0.255</v>
      </c>
      <c r="E792" s="3">
        <f>EXP(SQRT(LN(POWER(E790,2)/POWER(E788,2)+1)))</f>
        <v>1.3179626295704772</v>
      </c>
      <c r="F792" s="90">
        <f>F794/E794</f>
        <v>1.081669745432558</v>
      </c>
      <c r="G792" s="3">
        <f>LOG10(C792)</f>
        <v>-0.5934598195660448</v>
      </c>
      <c r="L792">
        <v>23</v>
      </c>
      <c r="M792">
        <v>26</v>
      </c>
      <c r="N792" s="3">
        <f t="shared" si="178"/>
        <v>0.2943710606025775</v>
      </c>
      <c r="P792" s="3">
        <f>EXP(SQRT(LN(POWER(P790,2)/POWER(P788,2)+1)))</f>
        <v>1.3621284882387912</v>
      </c>
      <c r="Q792" s="90">
        <f>Q794/P794</f>
        <v>1.0838943545569735</v>
      </c>
      <c r="R792" s="3">
        <f>LOG10(N792)</f>
        <v>-0.531104887399675</v>
      </c>
    </row>
    <row r="793" spans="1:18" ht="12.75">
      <c r="A793">
        <f>A792+1</f>
        <v>24</v>
      </c>
      <c r="B793">
        <v>35</v>
      </c>
      <c r="C793" s="3">
        <v>0.315</v>
      </c>
      <c r="E793" t="s">
        <v>384</v>
      </c>
      <c r="F793" t="s">
        <v>384</v>
      </c>
      <c r="G793" s="3">
        <f>LOG10(C793)</f>
        <v>-0.5016894462103995</v>
      </c>
      <c r="L793">
        <f>L792+1</f>
        <v>24</v>
      </c>
      <c r="M793">
        <v>35</v>
      </c>
      <c r="N793" s="3">
        <f t="shared" si="178"/>
        <v>0.3783364407199117</v>
      </c>
      <c r="P793" t="s">
        <v>384</v>
      </c>
      <c r="Q793" t="s">
        <v>384</v>
      </c>
      <c r="R793" s="3">
        <f>LOG10(N793)</f>
        <v>-0.4221218261897224</v>
      </c>
    </row>
    <row r="794" spans="1:18" ht="12.75">
      <c r="A794">
        <v>25</v>
      </c>
      <c r="B794">
        <v>24</v>
      </c>
      <c r="C794" s="3">
        <v>0.185</v>
      </c>
      <c r="E794" s="40">
        <f>LOG10(E792)</f>
        <v>0.11990309614462151</v>
      </c>
      <c r="F794" s="6">
        <f>STDEV(G780:G794)</f>
        <v>0.12969555148332826</v>
      </c>
      <c r="G794" s="3">
        <f>LOG10(C794)</f>
        <v>-0.7328282715969863</v>
      </c>
      <c r="L794">
        <v>25</v>
      </c>
      <c r="M794">
        <v>24</v>
      </c>
      <c r="N794" s="3">
        <f t="shared" si="178"/>
        <v>0.2045671657412744</v>
      </c>
      <c r="P794" s="40">
        <f>LOG10(P792)</f>
        <v>0.13421807607981517</v>
      </c>
      <c r="Q794" s="178">
        <f>STDEV(R780:R794)</f>
        <v>0.14547821494241003</v>
      </c>
      <c r="R794" s="3">
        <f>LOG10(N794)</f>
        <v>-0.6891640719029761</v>
      </c>
    </row>
    <row r="795" spans="1:17" ht="12.75">
      <c r="A795" s="59"/>
      <c r="E795" s="40"/>
      <c r="F795" s="6"/>
      <c r="L795" s="59"/>
      <c r="P795" s="40"/>
      <c r="Q795" s="6"/>
    </row>
    <row r="796" spans="1:12" ht="12.75">
      <c r="A796" s="59" t="s">
        <v>101</v>
      </c>
      <c r="L796" s="59" t="s">
        <v>101</v>
      </c>
    </row>
    <row r="797" spans="1:18" ht="12.75">
      <c r="A797" t="s">
        <v>127</v>
      </c>
      <c r="B797" t="s">
        <v>509</v>
      </c>
      <c r="C797" t="s">
        <v>414</v>
      </c>
      <c r="G797" t="s">
        <v>207</v>
      </c>
      <c r="L797" t="s">
        <v>127</v>
      </c>
      <c r="M797" t="s">
        <v>509</v>
      </c>
      <c r="N797" t="s">
        <v>414</v>
      </c>
      <c r="R797" t="s">
        <v>207</v>
      </c>
    </row>
    <row r="798" spans="1:18" ht="12.75">
      <c r="A798">
        <v>1</v>
      </c>
      <c r="B798">
        <v>47</v>
      </c>
      <c r="C798" s="3">
        <v>0.24</v>
      </c>
      <c r="G798" s="3">
        <f>LOG10(C798)</f>
        <v>-0.619788758288394</v>
      </c>
      <c r="L798">
        <v>1</v>
      </c>
      <c r="M798">
        <v>47</v>
      </c>
      <c r="N798" s="3">
        <f aca="true" t="shared" si="181" ref="N798:N812">-LN(1-C798)</f>
        <v>0.27443684570176025</v>
      </c>
      <c r="R798" s="3">
        <f>LOG10(N798)</f>
        <v>-0.5615575809729126</v>
      </c>
    </row>
    <row r="799" spans="1:18" ht="12.75">
      <c r="A799">
        <f>A798+1</f>
        <v>2</v>
      </c>
      <c r="B799">
        <v>43</v>
      </c>
      <c r="C799" s="3">
        <v>0.2</v>
      </c>
      <c r="G799" s="3">
        <f aca="true" t="shared" si="182" ref="G799:G807">LOG10(C799)</f>
        <v>-0.6989700043360187</v>
      </c>
      <c r="L799">
        <f>L798+1</f>
        <v>2</v>
      </c>
      <c r="M799">
        <v>43</v>
      </c>
      <c r="N799" s="3">
        <f t="shared" si="181"/>
        <v>0.22314355131420968</v>
      </c>
      <c r="R799" s="3">
        <f aca="true" t="shared" si="183" ref="R799:R807">LOG10(N799)</f>
        <v>-0.6514156594356943</v>
      </c>
    </row>
    <row r="800" spans="1:18" ht="12.75">
      <c r="A800">
        <v>4</v>
      </c>
      <c r="B800">
        <v>35</v>
      </c>
      <c r="C800" s="3">
        <v>0.26</v>
      </c>
      <c r="G800" s="3">
        <f t="shared" si="182"/>
        <v>-0.585026652029182</v>
      </c>
      <c r="L800">
        <v>4</v>
      </c>
      <c r="M800">
        <v>35</v>
      </c>
      <c r="N800" s="3">
        <f t="shared" si="181"/>
        <v>0.30110509278392167</v>
      </c>
      <c r="R800" s="3">
        <f t="shared" si="183"/>
        <v>-0.5212818989234742</v>
      </c>
    </row>
    <row r="801" spans="1:18" ht="12.75">
      <c r="A801">
        <f>A800+1</f>
        <v>5</v>
      </c>
      <c r="B801">
        <v>26</v>
      </c>
      <c r="C801" s="3">
        <v>0.23</v>
      </c>
      <c r="G801" s="3">
        <f t="shared" si="182"/>
        <v>-0.6382721639824072</v>
      </c>
      <c r="L801">
        <f>L800+1</f>
        <v>5</v>
      </c>
      <c r="M801">
        <v>26</v>
      </c>
      <c r="N801" s="3">
        <f t="shared" si="181"/>
        <v>0.2613647641344075</v>
      </c>
      <c r="R801" s="3">
        <f t="shared" si="183"/>
        <v>-0.5827529621780622</v>
      </c>
    </row>
    <row r="802" spans="1:18" ht="12.75">
      <c r="A802">
        <v>8</v>
      </c>
      <c r="B802">
        <v>33</v>
      </c>
      <c r="C802" s="3">
        <v>0.2</v>
      </c>
      <c r="G802" s="3">
        <f t="shared" si="182"/>
        <v>-0.6989700043360187</v>
      </c>
      <c r="L802">
        <v>8</v>
      </c>
      <c r="M802">
        <v>33</v>
      </c>
      <c r="N802" s="3">
        <f t="shared" si="181"/>
        <v>0.22314355131420968</v>
      </c>
      <c r="R802" s="3">
        <f t="shared" si="183"/>
        <v>-0.6514156594356943</v>
      </c>
    </row>
    <row r="803" spans="1:18" ht="12.75">
      <c r="A803">
        <f>A802+1</f>
        <v>9</v>
      </c>
      <c r="B803">
        <v>26</v>
      </c>
      <c r="C803" s="3">
        <v>0.31</v>
      </c>
      <c r="E803" t="s">
        <v>519</v>
      </c>
      <c r="G803" s="3">
        <f t="shared" si="182"/>
        <v>-0.5086383061657272</v>
      </c>
      <c r="L803">
        <f>L802+1</f>
        <v>9</v>
      </c>
      <c r="M803">
        <v>26</v>
      </c>
      <c r="N803" s="3">
        <f t="shared" si="181"/>
        <v>0.371063681390832</v>
      </c>
      <c r="P803" t="s">
        <v>519</v>
      </c>
      <c r="R803" s="3">
        <f t="shared" si="183"/>
        <v>-0.4305515510229028</v>
      </c>
    </row>
    <row r="804" spans="1:18" ht="12.75">
      <c r="A804">
        <v>11</v>
      </c>
      <c r="B804">
        <v>27</v>
      </c>
      <c r="C804" s="3">
        <v>0.175</v>
      </c>
      <c r="E804">
        <f>COUNT(C798:C812)</f>
        <v>15</v>
      </c>
      <c r="G804" s="3">
        <f t="shared" si="182"/>
        <v>-0.7569619513137056</v>
      </c>
      <c r="L804">
        <v>11</v>
      </c>
      <c r="M804">
        <v>27</v>
      </c>
      <c r="N804" s="3">
        <f t="shared" si="181"/>
        <v>0.1923718926474561</v>
      </c>
      <c r="P804">
        <f>COUNT(N798:N812)</f>
        <v>15</v>
      </c>
      <c r="R804" s="3">
        <f t="shared" si="183"/>
        <v>-0.715858382193407</v>
      </c>
    </row>
    <row r="805" spans="1:18" ht="12.75">
      <c r="A805">
        <v>15</v>
      </c>
      <c r="B805">
        <v>40</v>
      </c>
      <c r="C805" s="3">
        <v>0.29</v>
      </c>
      <c r="E805" t="s">
        <v>598</v>
      </c>
      <c r="G805" s="3">
        <f t="shared" si="182"/>
        <v>-0.5376020021010439</v>
      </c>
      <c r="L805">
        <v>15</v>
      </c>
      <c r="M805">
        <v>40</v>
      </c>
      <c r="N805" s="3">
        <f t="shared" si="181"/>
        <v>0.342490308946776</v>
      </c>
      <c r="P805" t="s">
        <v>598</v>
      </c>
      <c r="R805" s="3">
        <f t="shared" si="183"/>
        <v>-0.46535171272771275</v>
      </c>
    </row>
    <row r="806" spans="1:18" ht="12.75">
      <c r="A806">
        <f>A805+1</f>
        <v>16</v>
      </c>
      <c r="B806">
        <v>40</v>
      </c>
      <c r="C806" s="3">
        <v>0.195</v>
      </c>
      <c r="E806" s="3">
        <f>AVERAGE(C798:C812)</f>
        <v>0.23500000000000001</v>
      </c>
      <c r="G806" s="3">
        <f t="shared" si="182"/>
        <v>-0.7099653886374819</v>
      </c>
      <c r="L806">
        <f>L805+1</f>
        <v>16</v>
      </c>
      <c r="M806">
        <v>40</v>
      </c>
      <c r="N806" s="3">
        <f t="shared" si="181"/>
        <v>0.21691300156357377</v>
      </c>
      <c r="P806" s="3">
        <f>AVERAGE(N798:N812)</f>
        <v>0.26990177566966483</v>
      </c>
      <c r="R806" s="3">
        <f t="shared" si="183"/>
        <v>-0.6637144159983027</v>
      </c>
    </row>
    <row r="807" spans="1:18" ht="12.75">
      <c r="A807">
        <f>A806+1</f>
        <v>17</v>
      </c>
      <c r="B807">
        <v>28</v>
      </c>
      <c r="C807" s="3">
        <v>0.26</v>
      </c>
      <c r="E807" t="s">
        <v>431</v>
      </c>
      <c r="G807" s="3">
        <f t="shared" si="182"/>
        <v>-0.585026652029182</v>
      </c>
      <c r="L807">
        <f>L806+1</f>
        <v>17</v>
      </c>
      <c r="M807">
        <v>28</v>
      </c>
      <c r="N807" s="3">
        <f t="shared" si="181"/>
        <v>0.30110509278392167</v>
      </c>
      <c r="P807" t="s">
        <v>431</v>
      </c>
      <c r="R807" s="3">
        <f t="shared" si="183"/>
        <v>-0.5212818989234742</v>
      </c>
    </row>
    <row r="808" spans="1:18" ht="12.75">
      <c r="A808">
        <v>20</v>
      </c>
      <c r="B808">
        <v>28</v>
      </c>
      <c r="C808" s="3">
        <v>0.18</v>
      </c>
      <c r="E808" s="3">
        <f>STDEV(C798:C812)</f>
        <v>0.05042675027063644</v>
      </c>
      <c r="G808" s="3">
        <f>LOG10(C808)</f>
        <v>-0.7447274948966939</v>
      </c>
      <c r="L808">
        <v>20</v>
      </c>
      <c r="M808">
        <v>28</v>
      </c>
      <c r="N808" s="3">
        <f t="shared" si="181"/>
        <v>0.19845093872383818</v>
      </c>
      <c r="P808" s="3">
        <f>STDEV(N798:N812)</f>
        <v>0.06579334849332702</v>
      </c>
      <c r="R808" s="3">
        <f>LOG10(N808)</f>
        <v>-0.7023468424276733</v>
      </c>
    </row>
    <row r="809" spans="1:18" ht="12.75">
      <c r="A809">
        <f>A808+1</f>
        <v>21</v>
      </c>
      <c r="B809">
        <v>35</v>
      </c>
      <c r="C809" s="3">
        <v>0.145</v>
      </c>
      <c r="E809" t="s">
        <v>126</v>
      </c>
      <c r="F809" s="89" t="s">
        <v>323</v>
      </c>
      <c r="G809" s="3">
        <f>LOG10(C809)</f>
        <v>-0.8386319977650252</v>
      </c>
      <c r="L809">
        <f>L808+1</f>
        <v>21</v>
      </c>
      <c r="M809">
        <v>35</v>
      </c>
      <c r="N809" s="3">
        <f t="shared" si="181"/>
        <v>0.15665381004537687</v>
      </c>
      <c r="P809" t="s">
        <v>126</v>
      </c>
      <c r="Q809" s="89" t="s">
        <v>323</v>
      </c>
      <c r="R809" s="3">
        <f>LOG10(N809)</f>
        <v>-0.8050590379890382</v>
      </c>
    </row>
    <row r="810" spans="1:18" ht="12.75">
      <c r="A810">
        <v>23</v>
      </c>
      <c r="B810">
        <v>26</v>
      </c>
      <c r="C810" s="3">
        <v>0.3</v>
      </c>
      <c r="E810" s="3">
        <f>EXP(SQRT(LN(POWER(E808,2)/POWER(E806,2)+1)))</f>
        <v>1.2363599652087434</v>
      </c>
      <c r="F810" s="90">
        <f>F812/E812</f>
        <v>1.0635854611502389</v>
      </c>
      <c r="G810" s="3">
        <f>LOG10(C810)</f>
        <v>-0.5228787452803376</v>
      </c>
      <c r="L810">
        <v>23</v>
      </c>
      <c r="M810">
        <v>26</v>
      </c>
      <c r="N810" s="3">
        <f t="shared" si="181"/>
        <v>0.3566749439387324</v>
      </c>
      <c r="P810" s="3">
        <f>EXP(SQRT(LN(POWER(P808,2)/POWER(P806,2)+1)))</f>
        <v>1.2715778244767133</v>
      </c>
      <c r="Q810" s="90">
        <f>Q812/P812</f>
        <v>1.069142026082285</v>
      </c>
      <c r="R810" s="3">
        <f>LOG10(N810)</f>
        <v>-0.44772739834696257</v>
      </c>
    </row>
    <row r="811" spans="1:18" ht="12.75">
      <c r="A811">
        <f>A810+1</f>
        <v>24</v>
      </c>
      <c r="B811">
        <v>35</v>
      </c>
      <c r="C811" s="3">
        <v>0.28</v>
      </c>
      <c r="E811" t="s">
        <v>384</v>
      </c>
      <c r="F811" t="s">
        <v>384</v>
      </c>
      <c r="G811" s="3">
        <f>LOG10(C811)</f>
        <v>-0.5528419686577807</v>
      </c>
      <c r="L811">
        <f>L810+1</f>
        <v>24</v>
      </c>
      <c r="M811">
        <v>35</v>
      </c>
      <c r="N811" s="3">
        <f t="shared" si="181"/>
        <v>0.32850406697203605</v>
      </c>
      <c r="P811" t="s">
        <v>384</v>
      </c>
      <c r="Q811" t="s">
        <v>384</v>
      </c>
      <c r="R811" s="3">
        <f>LOG10(N811)</f>
        <v>-0.4834592493840182</v>
      </c>
    </row>
    <row r="812" spans="1:18" ht="12.75">
      <c r="A812">
        <v>25</v>
      </c>
      <c r="B812">
        <v>24</v>
      </c>
      <c r="C812" s="3">
        <v>0.26</v>
      </c>
      <c r="E812" s="40">
        <f>LOG10(E810)</f>
        <v>0.09214493365232536</v>
      </c>
      <c r="F812" s="6">
        <f>STDEV(G798:G812)</f>
        <v>0.09800401175126663</v>
      </c>
      <c r="G812" s="3">
        <f>LOG10(C812)</f>
        <v>-0.585026652029182</v>
      </c>
      <c r="L812">
        <v>25</v>
      </c>
      <c r="M812">
        <v>24</v>
      </c>
      <c r="N812" s="3">
        <f t="shared" si="181"/>
        <v>0.30110509278392167</v>
      </c>
      <c r="P812" s="40">
        <f>LOG10(P810)</f>
        <v>0.10434294548418463</v>
      </c>
      <c r="Q812" s="178">
        <f>STDEV(R798:R812)</f>
        <v>0.11155742814235457</v>
      </c>
      <c r="R812" s="3">
        <f>LOG10(N812)</f>
        <v>-0.5212818989234742</v>
      </c>
    </row>
    <row r="813" spans="3:18" ht="12.75">
      <c r="C813" s="3"/>
      <c r="E813" s="3"/>
      <c r="G813" s="3"/>
      <c r="N813" s="3"/>
      <c r="P813" s="3"/>
      <c r="R813" s="3"/>
    </row>
    <row r="814" spans="1:12" ht="12.75">
      <c r="A814" s="59" t="s">
        <v>466</v>
      </c>
      <c r="L814" s="59" t="s">
        <v>466</v>
      </c>
    </row>
    <row r="815" spans="1:18" ht="12.75">
      <c r="A815" t="s">
        <v>127</v>
      </c>
      <c r="B815" t="s">
        <v>509</v>
      </c>
      <c r="C815" t="s">
        <v>414</v>
      </c>
      <c r="G815" t="s">
        <v>207</v>
      </c>
      <c r="L815" t="s">
        <v>127</v>
      </c>
      <c r="M815" t="s">
        <v>509</v>
      </c>
      <c r="N815" t="s">
        <v>414</v>
      </c>
      <c r="R815" t="s">
        <v>207</v>
      </c>
    </row>
    <row r="816" spans="1:18" ht="12.75">
      <c r="A816">
        <v>1</v>
      </c>
      <c r="B816">
        <v>47</v>
      </c>
      <c r="C816" s="3">
        <v>0.37</v>
      </c>
      <c r="G816" s="3">
        <f>LOG10(C816)</f>
        <v>-0.431798275933005</v>
      </c>
      <c r="L816">
        <v>1</v>
      </c>
      <c r="M816">
        <v>47</v>
      </c>
      <c r="N816" s="3">
        <f aca="true" t="shared" si="184" ref="N816:N830">-LN(1-C816)</f>
        <v>0.4620354595965587</v>
      </c>
      <c r="R816" s="3">
        <f>LOG10(N816)</f>
        <v>-0.33532469259072195</v>
      </c>
    </row>
    <row r="817" spans="1:18" ht="12.75">
      <c r="A817">
        <f>A816+1</f>
        <v>2</v>
      </c>
      <c r="B817">
        <v>43</v>
      </c>
      <c r="C817" s="3">
        <v>0.37</v>
      </c>
      <c r="G817" s="3">
        <f aca="true" t="shared" si="185" ref="G817:G825">LOG10(C817)</f>
        <v>-0.431798275933005</v>
      </c>
      <c r="L817">
        <f>L816+1</f>
        <v>2</v>
      </c>
      <c r="M817">
        <v>43</v>
      </c>
      <c r="N817" s="3">
        <f t="shared" si="184"/>
        <v>0.4620354595965587</v>
      </c>
      <c r="R817" s="3">
        <f aca="true" t="shared" si="186" ref="R817:R825">LOG10(N817)</f>
        <v>-0.33532469259072195</v>
      </c>
    </row>
    <row r="818" spans="1:18" ht="12.75">
      <c r="A818">
        <v>4</v>
      </c>
      <c r="B818">
        <v>35</v>
      </c>
      <c r="C818" s="3">
        <v>0.4</v>
      </c>
      <c r="G818" s="3">
        <f t="shared" si="185"/>
        <v>-0.39794000867203755</v>
      </c>
      <c r="L818">
        <v>4</v>
      </c>
      <c r="M818">
        <v>35</v>
      </c>
      <c r="N818" s="3">
        <f t="shared" si="184"/>
        <v>0.5108256237659907</v>
      </c>
      <c r="R818" s="3">
        <f t="shared" si="186"/>
        <v>-0.2917273260110778</v>
      </c>
    </row>
    <row r="819" spans="1:18" ht="12.75">
      <c r="A819">
        <f>A818+1</f>
        <v>5</v>
      </c>
      <c r="B819">
        <v>26</v>
      </c>
      <c r="C819" s="3">
        <v>0.305</v>
      </c>
      <c r="G819" s="3">
        <f t="shared" si="185"/>
        <v>-0.5157001606532141</v>
      </c>
      <c r="L819">
        <f>L818+1</f>
        <v>5</v>
      </c>
      <c r="M819">
        <v>26</v>
      </c>
      <c r="N819" s="3">
        <f t="shared" si="184"/>
        <v>0.3638434334173448</v>
      </c>
      <c r="R819" s="3">
        <f t="shared" si="186"/>
        <v>-0.43908545874265764</v>
      </c>
    </row>
    <row r="820" spans="1:18" ht="12.75">
      <c r="A820">
        <v>8</v>
      </c>
      <c r="B820">
        <v>33</v>
      </c>
      <c r="C820" s="3">
        <v>0.485</v>
      </c>
      <c r="G820" s="3">
        <f t="shared" si="185"/>
        <v>-0.3142582613977364</v>
      </c>
      <c r="L820">
        <v>8</v>
      </c>
      <c r="M820">
        <v>33</v>
      </c>
      <c r="N820" s="3">
        <f t="shared" si="184"/>
        <v>0.6635883783184009</v>
      </c>
      <c r="R820" s="3">
        <f t="shared" si="186"/>
        <v>-0.17810122854940347</v>
      </c>
    </row>
    <row r="821" spans="1:18" ht="12.75">
      <c r="A821">
        <f>A820+1</f>
        <v>9</v>
      </c>
      <c r="B821">
        <v>26</v>
      </c>
      <c r="C821" s="3">
        <v>0.465</v>
      </c>
      <c r="E821" t="s">
        <v>519</v>
      </c>
      <c r="G821" s="3">
        <f t="shared" si="185"/>
        <v>-0.33254704711004607</v>
      </c>
      <c r="L821">
        <f>L820+1</f>
        <v>9</v>
      </c>
      <c r="M821">
        <v>26</v>
      </c>
      <c r="N821" s="3">
        <f t="shared" si="184"/>
        <v>0.6254885320861306</v>
      </c>
      <c r="P821" t="s">
        <v>519</v>
      </c>
      <c r="R821" s="3">
        <f t="shared" si="186"/>
        <v>-0.20378064839641052</v>
      </c>
    </row>
    <row r="822" spans="1:18" ht="12.75">
      <c r="A822">
        <v>11</v>
      </c>
      <c r="B822">
        <v>27</v>
      </c>
      <c r="C822" s="3">
        <v>0.36</v>
      </c>
      <c r="E822">
        <f>COUNT(C816:C830)</f>
        <v>15</v>
      </c>
      <c r="G822" s="3">
        <f t="shared" si="185"/>
        <v>-0.44369749923271273</v>
      </c>
      <c r="L822">
        <v>11</v>
      </c>
      <c r="M822">
        <v>27</v>
      </c>
      <c r="N822" s="3">
        <f t="shared" si="184"/>
        <v>0.44628710262841953</v>
      </c>
      <c r="P822">
        <f>COUNT(N816:N830)</f>
        <v>15</v>
      </c>
      <c r="R822" s="3">
        <f t="shared" si="186"/>
        <v>-0.350385663771713</v>
      </c>
    </row>
    <row r="823" spans="1:18" ht="12.75">
      <c r="A823">
        <v>15</v>
      </c>
      <c r="B823">
        <v>40</v>
      </c>
      <c r="C823" s="3">
        <v>0.34</v>
      </c>
      <c r="E823" t="s">
        <v>598</v>
      </c>
      <c r="G823" s="3">
        <f t="shared" si="185"/>
        <v>-0.46852108295774486</v>
      </c>
      <c r="L823">
        <v>15</v>
      </c>
      <c r="M823">
        <v>40</v>
      </c>
      <c r="N823" s="3">
        <f t="shared" si="184"/>
        <v>0.4155154439616659</v>
      </c>
      <c r="P823" t="s">
        <v>598</v>
      </c>
      <c r="R823" s="3">
        <f t="shared" si="186"/>
        <v>-0.38141282963515083</v>
      </c>
    </row>
    <row r="824" spans="1:18" ht="12.75">
      <c r="A824">
        <f>A823+1</f>
        <v>16</v>
      </c>
      <c r="B824">
        <v>40</v>
      </c>
      <c r="C824" s="3">
        <v>0.365</v>
      </c>
      <c r="E824" s="3">
        <f>AVERAGE(C816:C830)</f>
        <v>0.38900000000000007</v>
      </c>
      <c r="G824" s="3">
        <f t="shared" si="185"/>
        <v>-0.4377071355435253</v>
      </c>
      <c r="L824">
        <f>L823+1</f>
        <v>16</v>
      </c>
      <c r="M824">
        <v>40</v>
      </c>
      <c r="N824" s="3">
        <f t="shared" si="184"/>
        <v>0.45413028008944534</v>
      </c>
      <c r="P824" s="3">
        <f>AVERAGE(N816:N830)</f>
        <v>0.500487564011661</v>
      </c>
      <c r="R824" s="3">
        <f t="shared" si="186"/>
        <v>-0.3428195396376149</v>
      </c>
    </row>
    <row r="825" spans="1:18" ht="12.75">
      <c r="A825">
        <f>A824+1</f>
        <v>17</v>
      </c>
      <c r="B825">
        <v>28</v>
      </c>
      <c r="C825" s="3">
        <v>0.46</v>
      </c>
      <c r="E825" t="s">
        <v>431</v>
      </c>
      <c r="G825" s="3">
        <f t="shared" si="185"/>
        <v>-0.3372421683184259</v>
      </c>
      <c r="L825">
        <f>L824+1</f>
        <v>17</v>
      </c>
      <c r="M825">
        <v>28</v>
      </c>
      <c r="N825" s="3">
        <f t="shared" si="184"/>
        <v>0.616186139423817</v>
      </c>
      <c r="P825" t="s">
        <v>431</v>
      </c>
      <c r="R825" s="3">
        <f t="shared" si="186"/>
        <v>-0.21028807498930588</v>
      </c>
    </row>
    <row r="826" spans="1:18" ht="12.75">
      <c r="A826">
        <v>20</v>
      </c>
      <c r="B826">
        <v>28</v>
      </c>
      <c r="C826" s="3">
        <v>0.345</v>
      </c>
      <c r="E826" s="3">
        <f>STDEV(C816:C830)</f>
        <v>0.07817562645370028</v>
      </c>
      <c r="G826" s="3">
        <f>LOG10(C826)</f>
        <v>-0.46218090492672587</v>
      </c>
      <c r="L826">
        <v>20</v>
      </c>
      <c r="M826">
        <v>28</v>
      </c>
      <c r="N826" s="3">
        <f t="shared" si="184"/>
        <v>0.4231200433468851</v>
      </c>
      <c r="P826" s="3">
        <f>STDEV(N816:N830)</f>
        <v>0.13041150212486677</v>
      </c>
      <c r="R826" s="3">
        <f>LOG10(N826)</f>
        <v>-0.3735364014974099</v>
      </c>
    </row>
    <row r="827" spans="1:18" ht="12.75">
      <c r="A827">
        <f>A826+1</f>
        <v>21</v>
      </c>
      <c r="B827">
        <v>35</v>
      </c>
      <c r="C827" s="3">
        <v>0.245</v>
      </c>
      <c r="E827" t="s">
        <v>126</v>
      </c>
      <c r="F827" s="89" t="s">
        <v>323</v>
      </c>
      <c r="G827" s="3">
        <f>LOG10(C827)</f>
        <v>-0.6108339156354675</v>
      </c>
      <c r="L827">
        <f>L826+1</f>
        <v>21</v>
      </c>
      <c r="M827">
        <v>35</v>
      </c>
      <c r="N827" s="3">
        <f t="shared" si="184"/>
        <v>0.28103752973311236</v>
      </c>
      <c r="P827" t="s">
        <v>126</v>
      </c>
      <c r="Q827" s="89" t="s">
        <v>323</v>
      </c>
      <c r="R827" s="3">
        <f>LOG10(N827)</f>
        <v>-0.5512356805658497</v>
      </c>
    </row>
    <row r="828" spans="1:18" ht="12.75">
      <c r="A828">
        <v>23</v>
      </c>
      <c r="B828">
        <v>26</v>
      </c>
      <c r="C828" s="3">
        <v>0.485</v>
      </c>
      <c r="E828" s="3">
        <f>EXP(SQRT(LN(POWER(E826,2)/POWER(E824,2)+1)))</f>
        <v>1.2201572332436506</v>
      </c>
      <c r="F828" s="90">
        <f>F830/E830</f>
        <v>1.0362948268635634</v>
      </c>
      <c r="G828" s="3">
        <f>LOG10(C828)</f>
        <v>-0.3142582613977364</v>
      </c>
      <c r="L828">
        <v>23</v>
      </c>
      <c r="M828">
        <v>26</v>
      </c>
      <c r="N828" s="3">
        <f t="shared" si="184"/>
        <v>0.6635883783184009</v>
      </c>
      <c r="P828" s="3">
        <f>EXP(SQRT(LN(POWER(P826,2)/POWER(P824,2)+1)))</f>
        <v>1.2921423724291572</v>
      </c>
      <c r="Q828" s="90">
        <f>Q830/P830</f>
        <v>1.0345543212161972</v>
      </c>
      <c r="R828" s="3">
        <f>LOG10(N828)</f>
        <v>-0.17810122854940347</v>
      </c>
    </row>
    <row r="829" spans="1:18" ht="12.75">
      <c r="A829">
        <f>A828+1</f>
        <v>24</v>
      </c>
      <c r="B829">
        <v>35</v>
      </c>
      <c r="C829" s="3">
        <v>0.52</v>
      </c>
      <c r="E829" t="s">
        <v>384</v>
      </c>
      <c r="F829" t="s">
        <v>384</v>
      </c>
      <c r="G829" s="3">
        <f>LOG10(C829)</f>
        <v>-0.2839966563652008</v>
      </c>
      <c r="L829">
        <f>L828+1</f>
        <v>24</v>
      </c>
      <c r="M829">
        <v>35</v>
      </c>
      <c r="N829" s="3">
        <f t="shared" si="184"/>
        <v>0.7339691750802004</v>
      </c>
      <c r="P829" t="s">
        <v>384</v>
      </c>
      <c r="Q829" t="s">
        <v>384</v>
      </c>
      <c r="R829" s="3">
        <f>LOG10(N829)</f>
        <v>-0.1343221790126526</v>
      </c>
    </row>
    <row r="830" spans="1:18" ht="12.75">
      <c r="A830">
        <v>25</v>
      </c>
      <c r="B830">
        <v>24</v>
      </c>
      <c r="C830" s="3">
        <v>0.32</v>
      </c>
      <c r="E830" s="40">
        <f>LOG10(E828)</f>
        <v>0.08641579881422169</v>
      </c>
      <c r="F830" s="6">
        <f>STDEV(G816:G830)</f>
        <v>0.0895522452704604</v>
      </c>
      <c r="G830" s="3">
        <f>LOG10(C830)</f>
        <v>-0.494850021680094</v>
      </c>
      <c r="L830">
        <v>25</v>
      </c>
      <c r="M830">
        <v>24</v>
      </c>
      <c r="N830" s="3">
        <f t="shared" si="184"/>
        <v>0.3856624808119848</v>
      </c>
      <c r="P830" s="40">
        <f>LOG10(P828)</f>
        <v>0.11131036826729461</v>
      </c>
      <c r="Q830" s="178">
        <f>STDEV(R816:R830)</f>
        <v>0.1151566224870959</v>
      </c>
      <c r="R830" s="3">
        <f>LOG10(N830)</f>
        <v>-0.41379260943288027</v>
      </c>
    </row>
    <row r="831" spans="3:18" ht="12.75">
      <c r="C831" s="3"/>
      <c r="D831" s="60"/>
      <c r="G831" s="3"/>
      <c r="N831" s="3"/>
      <c r="O831" s="60"/>
      <c r="R831" s="3"/>
    </row>
    <row r="832" spans="1:12" ht="12.75">
      <c r="A832" s="59" t="s">
        <v>467</v>
      </c>
      <c r="L832" s="59" t="s">
        <v>467</v>
      </c>
    </row>
    <row r="833" spans="1:18" ht="12.75">
      <c r="A833" t="s">
        <v>127</v>
      </c>
      <c r="B833" t="s">
        <v>509</v>
      </c>
      <c r="C833" t="s">
        <v>414</v>
      </c>
      <c r="G833" t="s">
        <v>207</v>
      </c>
      <c r="L833" t="s">
        <v>127</v>
      </c>
      <c r="M833" t="s">
        <v>509</v>
      </c>
      <c r="N833" t="s">
        <v>414</v>
      </c>
      <c r="R833" t="s">
        <v>207</v>
      </c>
    </row>
    <row r="834" spans="1:18" ht="12.75">
      <c r="A834">
        <v>1</v>
      </c>
      <c r="B834">
        <v>47</v>
      </c>
      <c r="C834" s="3">
        <v>0.51</v>
      </c>
      <c r="G834" s="3">
        <f>LOG10(C834)</f>
        <v>-0.2924298239020636</v>
      </c>
      <c r="L834">
        <v>1</v>
      </c>
      <c r="M834">
        <v>47</v>
      </c>
      <c r="N834" s="3">
        <f aca="true" t="shared" si="187" ref="N834:N848">-LN(1-C834)</f>
        <v>0.7133498878774648</v>
      </c>
      <c r="R834" s="3">
        <f>LOG10(N834)</f>
        <v>-0.1466974026829814</v>
      </c>
    </row>
    <row r="835" spans="1:18" ht="12.75">
      <c r="A835">
        <f>A834+1</f>
        <v>2</v>
      </c>
      <c r="B835">
        <v>43</v>
      </c>
      <c r="C835" s="3">
        <v>0.595</v>
      </c>
      <c r="G835" s="3">
        <f aca="true" t="shared" si="188" ref="G835:G843">LOG10(C835)</f>
        <v>-0.22548303427145047</v>
      </c>
      <c r="L835">
        <f>L834+1</f>
        <v>2</v>
      </c>
      <c r="M835">
        <v>43</v>
      </c>
      <c r="N835" s="3">
        <f t="shared" si="187"/>
        <v>0.9038682118755978</v>
      </c>
      <c r="R835" s="3">
        <f aca="true" t="shared" si="189" ref="R835:R843">LOG10(N835)</f>
        <v>-0.0438948870329967</v>
      </c>
    </row>
    <row r="836" spans="1:18" ht="12.75">
      <c r="A836">
        <v>4</v>
      </c>
      <c r="B836">
        <v>35</v>
      </c>
      <c r="C836" s="3">
        <v>0.62</v>
      </c>
      <c r="G836" s="3">
        <f t="shared" si="188"/>
        <v>-0.2076083105017461</v>
      </c>
      <c r="L836">
        <v>4</v>
      </c>
      <c r="M836">
        <v>35</v>
      </c>
      <c r="N836" s="3">
        <f t="shared" si="187"/>
        <v>0.9675840262617055</v>
      </c>
      <c r="R836" s="3">
        <f t="shared" si="189"/>
        <v>-0.014311309970823463</v>
      </c>
    </row>
    <row r="837" spans="1:18" ht="12.75">
      <c r="A837">
        <f>A836+1</f>
        <v>5</v>
      </c>
      <c r="B837">
        <v>26</v>
      </c>
      <c r="C837" s="3">
        <v>0.415</v>
      </c>
      <c r="G837" s="3">
        <f t="shared" si="188"/>
        <v>-0.3819519032879073</v>
      </c>
      <c r="L837">
        <f>L836+1</f>
        <v>5</v>
      </c>
      <c r="M837">
        <v>26</v>
      </c>
      <c r="N837" s="3">
        <f t="shared" si="187"/>
        <v>0.5361434317502807</v>
      </c>
      <c r="R837" s="3">
        <f t="shared" si="189"/>
        <v>-0.2707190101492967</v>
      </c>
    </row>
    <row r="838" spans="1:18" ht="12.75">
      <c r="A838">
        <v>8</v>
      </c>
      <c r="B838">
        <v>33</v>
      </c>
      <c r="C838" s="3">
        <v>0.685</v>
      </c>
      <c r="G838" s="3">
        <f t="shared" si="188"/>
        <v>-0.16430942850757438</v>
      </c>
      <c r="L838">
        <v>8</v>
      </c>
      <c r="M838">
        <v>33</v>
      </c>
      <c r="N838" s="3">
        <f t="shared" si="187"/>
        <v>1.1551826401565042</v>
      </c>
      <c r="R838" s="3">
        <f t="shared" si="189"/>
        <v>0.06265065378781629</v>
      </c>
    </row>
    <row r="839" spans="1:18" ht="12.75">
      <c r="A839">
        <f>A838+1</f>
        <v>9</v>
      </c>
      <c r="B839">
        <v>26</v>
      </c>
      <c r="C839" s="3">
        <v>0.55</v>
      </c>
      <c r="E839" t="s">
        <v>519</v>
      </c>
      <c r="G839" s="3">
        <f t="shared" si="188"/>
        <v>-0.2596373105057561</v>
      </c>
      <c r="L839">
        <f>L838+1</f>
        <v>9</v>
      </c>
      <c r="M839">
        <v>26</v>
      </c>
      <c r="N839" s="3">
        <f t="shared" si="187"/>
        <v>0.7985076962177717</v>
      </c>
      <c r="P839" t="s">
        <v>519</v>
      </c>
      <c r="R839" s="3">
        <f t="shared" si="189"/>
        <v>-0.09772089366600901</v>
      </c>
    </row>
    <row r="840" spans="1:18" ht="12.75">
      <c r="A840">
        <v>11</v>
      </c>
      <c r="B840">
        <v>27</v>
      </c>
      <c r="C840" s="3">
        <v>0.44</v>
      </c>
      <c r="E840">
        <f>COUNT(C834:C848)</f>
        <v>15</v>
      </c>
      <c r="G840" s="3">
        <f t="shared" si="188"/>
        <v>-0.3565473235138126</v>
      </c>
      <c r="L840">
        <v>11</v>
      </c>
      <c r="M840">
        <v>27</v>
      </c>
      <c r="N840" s="3">
        <f t="shared" si="187"/>
        <v>0.579818495252942</v>
      </c>
      <c r="P840">
        <f>COUNT(N834:N848)</f>
        <v>15</v>
      </c>
      <c r="R840" s="3">
        <f t="shared" si="189"/>
        <v>-0.2367079354829482</v>
      </c>
    </row>
    <row r="841" spans="1:18" ht="12.75">
      <c r="A841">
        <v>15</v>
      </c>
      <c r="B841">
        <v>40</v>
      </c>
      <c r="C841" s="3">
        <v>0.505</v>
      </c>
      <c r="E841" t="s">
        <v>598</v>
      </c>
      <c r="G841" s="3">
        <f t="shared" si="188"/>
        <v>-0.2967086218813386</v>
      </c>
      <c r="L841">
        <v>15</v>
      </c>
      <c r="M841">
        <v>40</v>
      </c>
      <c r="N841" s="3">
        <f t="shared" si="187"/>
        <v>0.7031975164134467</v>
      </c>
      <c r="P841" t="s">
        <v>598</v>
      </c>
      <c r="R841" s="3">
        <f t="shared" si="189"/>
        <v>-0.15292267179355662</v>
      </c>
    </row>
    <row r="842" spans="1:18" ht="12.75">
      <c r="A842">
        <f>A841+1</f>
        <v>16</v>
      </c>
      <c r="B842">
        <v>40</v>
      </c>
      <c r="C842" s="3">
        <v>0.535</v>
      </c>
      <c r="E842" s="3">
        <f>AVERAGE(C834:C848)</f>
        <v>0.5366666666666667</v>
      </c>
      <c r="G842" s="3">
        <f t="shared" si="188"/>
        <v>-0.27164621797877153</v>
      </c>
      <c r="L842">
        <f>L841+1</f>
        <v>16</v>
      </c>
      <c r="M842">
        <v>40</v>
      </c>
      <c r="N842" s="3">
        <f t="shared" si="187"/>
        <v>0.7657178733947808</v>
      </c>
      <c r="P842" s="3">
        <f>AVERAGE(N834:N848)</f>
        <v>0.7836062635237314</v>
      </c>
      <c r="R842" s="3">
        <f t="shared" si="189"/>
        <v>-0.1159312154813111</v>
      </c>
    </row>
    <row r="843" spans="1:18" ht="12.75">
      <c r="A843">
        <f>A842+1</f>
        <v>17</v>
      </c>
      <c r="B843">
        <v>28</v>
      </c>
      <c r="C843" s="3">
        <v>0.6</v>
      </c>
      <c r="E843" t="s">
        <v>431</v>
      </c>
      <c r="G843" s="3">
        <f t="shared" si="188"/>
        <v>-0.22184874961635637</v>
      </c>
      <c r="L843">
        <f>L842+1</f>
        <v>17</v>
      </c>
      <c r="M843">
        <v>28</v>
      </c>
      <c r="N843" s="3">
        <f t="shared" si="187"/>
        <v>0.916290731874155</v>
      </c>
      <c r="P843" t="s">
        <v>431</v>
      </c>
      <c r="R843" s="3">
        <f t="shared" si="189"/>
        <v>-0.03796670622803395</v>
      </c>
    </row>
    <row r="844" spans="1:18" ht="12.75">
      <c r="A844">
        <v>20</v>
      </c>
      <c r="B844">
        <v>28</v>
      </c>
      <c r="C844" s="3">
        <v>0.56</v>
      </c>
      <c r="E844" s="3">
        <f>STDEV(C834:C848)</f>
        <v>0.08065948413517332</v>
      </c>
      <c r="G844" s="3">
        <f>LOG10(C844)</f>
        <v>-0.25181197299379954</v>
      </c>
      <c r="L844">
        <v>20</v>
      </c>
      <c r="M844">
        <v>28</v>
      </c>
      <c r="N844" s="3">
        <f t="shared" si="187"/>
        <v>0.8209805520698303</v>
      </c>
      <c r="P844" s="3">
        <f>STDEV(N834:N848)</f>
        <v>0.17596736865002227</v>
      </c>
      <c r="R844" s="3">
        <f>LOG10(N844)</f>
        <v>-0.08566713061356175</v>
      </c>
    </row>
    <row r="845" spans="1:18" ht="12.75">
      <c r="A845">
        <f>A844+1</f>
        <v>21</v>
      </c>
      <c r="B845">
        <v>35</v>
      </c>
      <c r="C845" s="3">
        <v>0.39</v>
      </c>
      <c r="E845" t="s">
        <v>126</v>
      </c>
      <c r="F845" s="89" t="s">
        <v>323</v>
      </c>
      <c r="G845" s="3">
        <f>LOG10(C845)</f>
        <v>-0.40893539297350073</v>
      </c>
      <c r="L845">
        <f>L844+1</f>
        <v>21</v>
      </c>
      <c r="M845">
        <v>35</v>
      </c>
      <c r="N845" s="3">
        <f t="shared" si="187"/>
        <v>0.4942963218147801</v>
      </c>
      <c r="P845" t="s">
        <v>126</v>
      </c>
      <c r="Q845" s="89" t="s">
        <v>323</v>
      </c>
      <c r="R845" s="3">
        <f>LOG10(N845)</f>
        <v>-0.3060126212233984</v>
      </c>
    </row>
    <row r="846" spans="1:18" ht="12.75">
      <c r="A846">
        <v>23</v>
      </c>
      <c r="B846">
        <v>26</v>
      </c>
      <c r="C846" s="3">
        <v>0.57</v>
      </c>
      <c r="E846" s="3">
        <f>EXP(SQRT(LN(POWER(E844,2)/POWER(E842,2)+1)))</f>
        <v>1.161205431694832</v>
      </c>
      <c r="F846" s="90">
        <f>F848/E848</f>
        <v>1.0437214103728314</v>
      </c>
      <c r="G846" s="3">
        <f>LOG10(C846)</f>
        <v>-0.24412514432750865</v>
      </c>
      <c r="L846">
        <v>23</v>
      </c>
      <c r="M846">
        <v>26</v>
      </c>
      <c r="N846" s="3">
        <f t="shared" si="187"/>
        <v>0.8439700702945289</v>
      </c>
      <c r="P846" s="3">
        <f>EXP(SQRT(LN(POWER(P844,2)/POWER(P842,2)+1)))</f>
        <v>1.2483275968710539</v>
      </c>
      <c r="Q846" s="90">
        <f>Q848/P848</f>
        <v>1.0445475025382123</v>
      </c>
      <c r="R846" s="3">
        <f>LOG10(N846)</f>
        <v>-0.07367295448383286</v>
      </c>
    </row>
    <row r="847" spans="1:18" ht="12.75">
      <c r="A847">
        <f>A846+1</f>
        <v>24</v>
      </c>
      <c r="B847">
        <v>35</v>
      </c>
      <c r="C847" s="3">
        <v>0.485</v>
      </c>
      <c r="E847" t="s">
        <v>384</v>
      </c>
      <c r="F847" t="s">
        <v>384</v>
      </c>
      <c r="G847" s="3">
        <f>LOG10(C847)</f>
        <v>-0.3142582613977364</v>
      </c>
      <c r="L847">
        <f>L846+1</f>
        <v>24</v>
      </c>
      <c r="M847">
        <v>35</v>
      </c>
      <c r="N847" s="3">
        <f t="shared" si="187"/>
        <v>0.6635883783184009</v>
      </c>
      <c r="P847" t="s">
        <v>384</v>
      </c>
      <c r="Q847" t="s">
        <v>384</v>
      </c>
      <c r="R847" s="3">
        <f>LOG10(N847)</f>
        <v>-0.17810122854940347</v>
      </c>
    </row>
    <row r="848" spans="1:18" ht="12.75">
      <c r="A848">
        <v>25</v>
      </c>
      <c r="B848">
        <v>24</v>
      </c>
      <c r="C848" s="3">
        <v>0.59</v>
      </c>
      <c r="E848" s="40">
        <f>LOG10(E846)</f>
        <v>0.06490905863532997</v>
      </c>
      <c r="F848" s="6">
        <f>STDEV(G834:G848)</f>
        <v>0.06774697422483941</v>
      </c>
      <c r="G848" s="3">
        <f>LOG10(C848)</f>
        <v>-0.22914798835785583</v>
      </c>
      <c r="L848">
        <v>25</v>
      </c>
      <c r="M848">
        <v>24</v>
      </c>
      <c r="N848" s="3">
        <f t="shared" si="187"/>
        <v>0.8915981192837835</v>
      </c>
      <c r="P848" s="40">
        <f>LOG10(P846)</f>
        <v>0.09632857159915705</v>
      </c>
      <c r="Q848" s="178">
        <f>STDEV(R834:R848)</f>
        <v>0.10061976888697285</v>
      </c>
      <c r="R848" s="3">
        <f>LOG10(N848)</f>
        <v>-0.04983085628145476</v>
      </c>
    </row>
    <row r="850" spans="5:6" ht="12.75">
      <c r="E850" s="40"/>
      <c r="F850" s="6"/>
    </row>
    <row r="851" ht="12.75">
      <c r="A851" s="58"/>
    </row>
    <row r="852" ht="12.75">
      <c r="A852" s="59"/>
    </row>
    <row r="854" spans="3:7" ht="12.75">
      <c r="C854" s="3"/>
      <c r="G854" s="3"/>
    </row>
    <row r="855" spans="3:7" ht="12.75">
      <c r="C855" s="3"/>
      <c r="D855" s="60"/>
      <c r="G855" s="3"/>
    </row>
    <row r="856" spans="3:7" ht="12.75">
      <c r="C856" s="3"/>
      <c r="G856" s="3"/>
    </row>
    <row r="857" spans="3:7" ht="12.75">
      <c r="C857" s="3"/>
      <c r="E857" s="3"/>
      <c r="G857" s="3"/>
    </row>
    <row r="858" spans="3:7" ht="12.75">
      <c r="C858" s="3"/>
      <c r="G858" s="3"/>
    </row>
    <row r="859" spans="3:7" ht="12.75">
      <c r="C859" s="3"/>
      <c r="E859" s="3"/>
      <c r="G859" s="3"/>
    </row>
    <row r="860" spans="3:7" ht="12.75">
      <c r="C860" s="3"/>
      <c r="G860" s="3"/>
    </row>
    <row r="861" spans="2:5" ht="12.75">
      <c r="B861" s="3"/>
      <c r="E861" s="3"/>
    </row>
    <row r="862" spans="1:4" ht="12.75">
      <c r="A862" s="58"/>
      <c r="D862" s="3"/>
    </row>
    <row r="863" spans="1:6" ht="12.75">
      <c r="A863" s="59"/>
      <c r="E863" s="40"/>
      <c r="F863" s="6"/>
    </row>
    <row r="865" spans="3:7" ht="12.75">
      <c r="C865" s="3"/>
      <c r="G865" s="3"/>
    </row>
    <row r="866" spans="3:7" ht="12.75">
      <c r="C866" s="3"/>
      <c r="D866" s="60"/>
      <c r="G866" s="3"/>
    </row>
    <row r="867" spans="3:7" ht="12.75">
      <c r="C867" s="3"/>
      <c r="G867" s="3"/>
    </row>
    <row r="868" spans="3:7" ht="12.75">
      <c r="C868" s="3"/>
      <c r="E868" s="3"/>
      <c r="G868" s="3"/>
    </row>
    <row r="869" spans="3:7" ht="12.75">
      <c r="C869" s="3"/>
      <c r="G869" s="3"/>
    </row>
    <row r="870" spans="3:7" ht="12.75">
      <c r="C870" s="3"/>
      <c r="E870" s="3"/>
      <c r="G870" s="3"/>
    </row>
    <row r="871" spans="3:7" ht="12.75">
      <c r="C871" s="3"/>
      <c r="G871" s="3"/>
    </row>
    <row r="872" ht="12.75">
      <c r="E872" s="3"/>
    </row>
    <row r="873" ht="12.75">
      <c r="A873" s="58"/>
    </row>
    <row r="874" spans="1:6" ht="12.75">
      <c r="A874" s="59"/>
      <c r="E874" s="40"/>
      <c r="F874" s="6"/>
    </row>
    <row r="876" spans="3:7" ht="12.75">
      <c r="C876" s="3"/>
      <c r="G876" s="3"/>
    </row>
    <row r="877" spans="3:7" ht="12.75">
      <c r="C877" s="3"/>
      <c r="D877" s="60"/>
      <c r="G877" s="3"/>
    </row>
    <row r="878" spans="3:7" ht="12.75">
      <c r="C878" s="3"/>
      <c r="G878" s="3"/>
    </row>
    <row r="879" spans="3:7" ht="12.75">
      <c r="C879" s="3"/>
      <c r="E879" s="3"/>
      <c r="G879" s="3"/>
    </row>
    <row r="880" spans="3:7" ht="12.75">
      <c r="C880" s="3"/>
      <c r="G880" s="3"/>
    </row>
    <row r="881" spans="3:7" ht="12.75">
      <c r="C881" s="3"/>
      <c r="E881" s="3"/>
      <c r="G881" s="3"/>
    </row>
    <row r="882" spans="3:7" ht="12.75">
      <c r="C882" s="3"/>
      <c r="G882" s="3"/>
    </row>
    <row r="883" ht="12.75">
      <c r="E883" s="3"/>
    </row>
    <row r="884" ht="12.75">
      <c r="A884" s="58"/>
    </row>
    <row r="885" spans="1:6" ht="12.75">
      <c r="A885" s="59"/>
      <c r="E885" s="40"/>
      <c r="F885" s="6"/>
    </row>
    <row r="887" spans="3:7" ht="12.75">
      <c r="C887" s="3"/>
      <c r="G887" s="3"/>
    </row>
    <row r="888" spans="3:7" ht="12.75">
      <c r="C888" s="3"/>
      <c r="D888" s="60"/>
      <c r="G888" s="3"/>
    </row>
    <row r="889" spans="3:7" ht="12.75">
      <c r="C889" s="3"/>
      <c r="G889" s="3"/>
    </row>
    <row r="890" spans="3:7" ht="12.75">
      <c r="C890" s="3"/>
      <c r="E890" s="3"/>
      <c r="G890" s="3"/>
    </row>
    <row r="891" spans="3:7" ht="12.75">
      <c r="C891" s="3"/>
      <c r="G891" s="3"/>
    </row>
    <row r="892" spans="3:7" ht="12.75">
      <c r="C892" s="3"/>
      <c r="E892" s="3"/>
      <c r="G892" s="3"/>
    </row>
    <row r="893" spans="3:7" ht="12.75">
      <c r="C893" s="3"/>
      <c r="G893" s="3"/>
    </row>
    <row r="894" ht="12.75">
      <c r="E894" s="3"/>
    </row>
    <row r="895" ht="12.75">
      <c r="A895" s="58"/>
    </row>
    <row r="896" spans="1:6" ht="12.75">
      <c r="A896" s="59"/>
      <c r="E896" s="40"/>
      <c r="F896" s="6"/>
    </row>
    <row r="898" spans="3:7" ht="12.75">
      <c r="C898" s="3"/>
      <c r="G898" s="3"/>
    </row>
    <row r="899" spans="3:7" ht="12.75">
      <c r="C899" s="3"/>
      <c r="D899" s="60"/>
      <c r="G899" s="3"/>
    </row>
    <row r="900" spans="3:7" ht="12.75">
      <c r="C900" s="3"/>
      <c r="G900" s="3"/>
    </row>
    <row r="901" spans="3:7" ht="12.75">
      <c r="C901" s="3"/>
      <c r="E901" s="3"/>
      <c r="G901" s="3"/>
    </row>
    <row r="902" spans="3:7" ht="12.75">
      <c r="C902" s="3"/>
      <c r="G902" s="3"/>
    </row>
    <row r="903" spans="3:7" ht="12.75">
      <c r="C903" s="3"/>
      <c r="E903" s="3"/>
      <c r="G903" s="3"/>
    </row>
    <row r="904" spans="3:7" ht="12.75">
      <c r="C904" s="3"/>
      <c r="G904" s="3"/>
    </row>
    <row r="905" ht="12.75">
      <c r="E905" s="3"/>
    </row>
    <row r="906" ht="12.75">
      <c r="A906" s="58"/>
    </row>
    <row r="907" spans="1:6" ht="12.75">
      <c r="A907" s="59"/>
      <c r="E907" s="40"/>
      <c r="F907" s="6"/>
    </row>
    <row r="909" spans="3:7" ht="12.75">
      <c r="C909" s="3"/>
      <c r="G909" s="3"/>
    </row>
    <row r="910" spans="3:7" ht="12.75">
      <c r="C910" s="3"/>
      <c r="D910" s="60"/>
      <c r="G910" s="3"/>
    </row>
    <row r="911" spans="3:7" ht="12.75">
      <c r="C911" s="3"/>
      <c r="G911" s="3"/>
    </row>
    <row r="912" spans="3:7" ht="12.75">
      <c r="C912" s="3"/>
      <c r="E912" s="3"/>
      <c r="G912" s="3"/>
    </row>
    <row r="913" spans="3:7" ht="12.75">
      <c r="C913" s="3"/>
      <c r="G913" s="3"/>
    </row>
    <row r="914" spans="3:7" ht="12.75">
      <c r="C914" s="3"/>
      <c r="E914" s="3"/>
      <c r="G914" s="3"/>
    </row>
    <row r="915" spans="3:7" ht="12.75">
      <c r="C915" s="3"/>
      <c r="G915" s="3"/>
    </row>
    <row r="916" ht="12.75">
      <c r="E916" s="3"/>
    </row>
    <row r="917" ht="12.75">
      <c r="A917" s="58"/>
    </row>
    <row r="918" spans="1:6" ht="12.75">
      <c r="A918" s="59"/>
      <c r="E918" s="40"/>
      <c r="F918" s="6"/>
    </row>
    <row r="920" spans="3:7" ht="12.75">
      <c r="C920" s="3"/>
      <c r="G920" s="3"/>
    </row>
    <row r="921" spans="3:7" ht="12.75">
      <c r="C921" s="3"/>
      <c r="D921" s="60"/>
      <c r="G921" s="3"/>
    </row>
    <row r="922" spans="3:7" ht="12.75">
      <c r="C922" s="3"/>
      <c r="G922" s="3"/>
    </row>
    <row r="923" spans="3:7" ht="12.75">
      <c r="C923" s="3"/>
      <c r="E923" s="3"/>
      <c r="G923" s="3"/>
    </row>
    <row r="924" spans="3:7" ht="12.75">
      <c r="C924" s="3"/>
      <c r="G924" s="3"/>
    </row>
    <row r="925" spans="3:7" ht="12.75">
      <c r="C925" s="3"/>
      <c r="E925" s="3"/>
      <c r="G925" s="3"/>
    </row>
    <row r="926" spans="3:7" ht="12.75">
      <c r="C926" s="3"/>
      <c r="G926" s="3"/>
    </row>
    <row r="927" ht="12.75">
      <c r="E927" s="3"/>
    </row>
    <row r="928" ht="12.75">
      <c r="A928" s="58"/>
    </row>
    <row r="929" spans="1:6" ht="12.75">
      <c r="A929" s="59"/>
      <c r="E929" s="40"/>
      <c r="F929" s="6"/>
    </row>
    <row r="931" spans="3:7" ht="12.75">
      <c r="C931" s="3"/>
      <c r="G931" s="3"/>
    </row>
    <row r="932" spans="3:7" ht="12.75">
      <c r="C932" s="3"/>
      <c r="D932" s="60"/>
      <c r="G932" s="3"/>
    </row>
    <row r="933" spans="3:7" ht="12.75">
      <c r="C933" s="3"/>
      <c r="G933" s="3"/>
    </row>
    <row r="934" spans="3:7" ht="12.75">
      <c r="C934" s="3"/>
      <c r="E934" s="3"/>
      <c r="G934" s="3"/>
    </row>
    <row r="935" spans="3:7" ht="12.75">
      <c r="C935" s="3"/>
      <c r="G935" s="3"/>
    </row>
    <row r="936" spans="3:7" ht="12.75">
      <c r="C936" s="3"/>
      <c r="E936" s="3"/>
      <c r="G936" s="3"/>
    </row>
    <row r="937" spans="3:7" ht="12.75">
      <c r="C937" s="3"/>
      <c r="G937" s="3"/>
    </row>
    <row r="938" ht="12.75">
      <c r="E938" s="3"/>
    </row>
    <row r="939" ht="12.75">
      <c r="A939" s="58"/>
    </row>
    <row r="940" spans="1:6" ht="12.75">
      <c r="A940" s="59"/>
      <c r="E940" s="40"/>
      <c r="F940" s="6"/>
    </row>
    <row r="942" spans="3:7" ht="12.75">
      <c r="C942" s="3"/>
      <c r="G942" s="3"/>
    </row>
    <row r="943" spans="3:7" ht="12.75">
      <c r="C943" s="3"/>
      <c r="D943" s="60"/>
      <c r="G943" s="3"/>
    </row>
    <row r="944" spans="3:7" ht="12.75">
      <c r="C944" s="3"/>
      <c r="G944" s="3"/>
    </row>
    <row r="945" spans="3:7" ht="12.75">
      <c r="C945" s="3"/>
      <c r="E945" s="3"/>
      <c r="G945" s="3"/>
    </row>
    <row r="946" spans="3:7" ht="12.75">
      <c r="C946" s="3"/>
      <c r="G946" s="3"/>
    </row>
    <row r="947" spans="3:7" ht="12.75">
      <c r="C947" s="3"/>
      <c r="E947" s="3"/>
      <c r="G947" s="3"/>
    </row>
    <row r="948" spans="3:7" ht="12.75">
      <c r="C948" s="3"/>
      <c r="G948" s="3"/>
    </row>
    <row r="949" ht="12.75">
      <c r="E949" s="3"/>
    </row>
    <row r="951" spans="5:6" ht="12.75">
      <c r="E951" s="40"/>
      <c r="F95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60"/>
  <sheetViews>
    <sheetView workbookViewId="0" topLeftCell="A18">
      <selection activeCell="Q39" sqref="Q39"/>
    </sheetView>
  </sheetViews>
  <sheetFormatPr defaultColWidth="11.00390625" defaultRowHeight="12"/>
  <sheetData>
    <row r="1" ht="18.75">
      <c r="A1" s="35" t="s">
        <v>148</v>
      </c>
    </row>
    <row r="2" spans="11:14" ht="18.75">
      <c r="K2" t="s">
        <v>384</v>
      </c>
      <c r="L2" t="s">
        <v>158</v>
      </c>
      <c r="N2" s="176" t="s">
        <v>159</v>
      </c>
    </row>
    <row r="3" spans="1:14" ht="18.75">
      <c r="A3" t="s">
        <v>151</v>
      </c>
      <c r="K3">
        <v>0.049317170053366256</v>
      </c>
      <c r="L3">
        <v>-0.10517306317089761</v>
      </c>
      <c r="N3" s="177">
        <f>STDEV(P5:P24)</f>
        <v>0.13064268992333702</v>
      </c>
    </row>
    <row r="4" ht="12.75">
      <c r="B4" t="s">
        <v>152</v>
      </c>
    </row>
    <row r="5" spans="1:99" ht="12.75">
      <c r="A5" t="s">
        <v>149</v>
      </c>
      <c r="B5" t="s">
        <v>150</v>
      </c>
      <c r="C5" t="s">
        <v>431</v>
      </c>
      <c r="E5" t="s">
        <v>383</v>
      </c>
      <c r="F5" t="s">
        <v>157</v>
      </c>
      <c r="G5" s="1" t="s">
        <v>384</v>
      </c>
      <c r="H5" t="s">
        <v>158</v>
      </c>
      <c r="J5">
        <v>1</v>
      </c>
      <c r="K5">
        <f>(J5-(3/8))/20.25</f>
        <v>0.030864197530864196</v>
      </c>
      <c r="L5">
        <f>NORMSINV(K5)</f>
        <v>-1.8682385416468605</v>
      </c>
      <c r="M5" s="174">
        <f>$L$3+($K$3*L5)</f>
        <v>-0.1973093010295488</v>
      </c>
      <c r="N5" s="175">
        <f>POWER(10,M5)</f>
        <v>0.6348786153701129</v>
      </c>
      <c r="O5" s="38">
        <f aca="true" t="shared" si="0" ref="O5:O24">-LN(1-N5)</f>
        <v>1.0075254200558472</v>
      </c>
      <c r="P5">
        <f aca="true" t="shared" si="1" ref="P5:P24">LOG(O5)</f>
        <v>0.0032560122828393266</v>
      </c>
      <c r="CU5" s="1"/>
    </row>
    <row r="6" spans="1:99" ht="18.75">
      <c r="A6">
        <v>1</v>
      </c>
      <c r="B6">
        <v>0.15</v>
      </c>
      <c r="C6">
        <v>0.04</v>
      </c>
      <c r="E6">
        <f>EXP(SQRT(LN((POWER(C6,2))/(POWER(B6,2))+1)))</f>
        <v>1.29965680228806</v>
      </c>
      <c r="F6">
        <f>B6/SQRT(POWER(C6,2)/POWER(B6,2)+1)</f>
        <v>0.14493524094018692</v>
      </c>
      <c r="G6" s="6">
        <f>LOG10(E6)</f>
        <v>0.11382868419123619</v>
      </c>
      <c r="H6">
        <f>LOG(F6)</f>
        <v>-0.8388260031760717</v>
      </c>
      <c r="I6" s="173"/>
      <c r="J6">
        <v>2</v>
      </c>
      <c r="K6">
        <f aca="true" t="shared" si="2" ref="K6:K24">(J6-(3/8))/20.25</f>
        <v>0.08024691358024691</v>
      </c>
      <c r="L6">
        <f aca="true" t="shared" si="3" ref="L6:L24">NORMSINV(K6)</f>
        <v>-1.4034139894647524</v>
      </c>
      <c r="M6" s="174">
        <f aca="true" t="shared" si="4" ref="M6:M24">$L$3+($K$3*L6)</f>
        <v>-0.17438546954460396</v>
      </c>
      <c r="N6" s="175">
        <f aca="true" t="shared" si="5" ref="N6:N24">POWER(10,M6)</f>
        <v>0.6692902994150486</v>
      </c>
      <c r="O6" s="38">
        <f t="shared" si="0"/>
        <v>1.1065143259351877</v>
      </c>
      <c r="P6">
        <f t="shared" si="1"/>
        <v>0.043957041068811535</v>
      </c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CU6" s="6"/>
    </row>
    <row r="7" spans="1:99" ht="18.75">
      <c r="A7">
        <v>3</v>
      </c>
      <c r="B7">
        <v>0.45</v>
      </c>
      <c r="C7">
        <v>0.06</v>
      </c>
      <c r="E7">
        <f>EXP(SQRT(LN((POWER(C7,2))/(POWER(B7,2))+1)))</f>
        <v>1.141960337390551</v>
      </c>
      <c r="F7">
        <f>B7/SQRT(POWER(C7,2)/POWER(B7,2)+1)</f>
        <v>0.44605255530718557</v>
      </c>
      <c r="G7" s="6">
        <f>LOG10(E7)</f>
        <v>0.05765102023946828</v>
      </c>
      <c r="H7">
        <f>LOG(F7)</f>
        <v>-0.3506139683389191</v>
      </c>
      <c r="I7" s="173"/>
      <c r="J7">
        <v>3</v>
      </c>
      <c r="K7">
        <f t="shared" si="2"/>
        <v>0.12962962962962962</v>
      </c>
      <c r="L7">
        <f t="shared" si="3"/>
        <v>-1.1281440492894035</v>
      </c>
      <c r="M7" s="174">
        <f t="shared" si="4"/>
        <v>-0.16080993509439634</v>
      </c>
      <c r="N7" s="175">
        <f t="shared" si="5"/>
        <v>0.6905419469250211</v>
      </c>
      <c r="O7" s="38">
        <f t="shared" si="0"/>
        <v>1.1729327273028427</v>
      </c>
      <c r="P7">
        <f t="shared" si="1"/>
        <v>0.06927310418801184</v>
      </c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CU7" s="6"/>
    </row>
    <row r="8" spans="1:99" ht="18.75">
      <c r="A8">
        <v>5</v>
      </c>
      <c r="B8">
        <v>0.69</v>
      </c>
      <c r="C8">
        <v>0.06</v>
      </c>
      <c r="E8">
        <f>EXP(SQRT(LN((POWER(C8,2))/(POWER(B8,2))+1)))</f>
        <v>1.0906706830120843</v>
      </c>
      <c r="F8">
        <f>B8/SQRT(POWER(C8,2)/POWER(B8,2)+1)</f>
        <v>0.6874060058550211</v>
      </c>
      <c r="G8" s="6">
        <f>LOG10(E8)</f>
        <v>0.03769363955233749</v>
      </c>
      <c r="H8">
        <f>LOG(F8)</f>
        <v>-0.162786677758438</v>
      </c>
      <c r="I8" s="173"/>
      <c r="J8">
        <v>4</v>
      </c>
      <c r="K8">
        <f t="shared" si="2"/>
        <v>0.17901234567901234</v>
      </c>
      <c r="L8">
        <f t="shared" si="3"/>
        <v>-0.9191353456117213</v>
      </c>
      <c r="M8" s="174">
        <f t="shared" si="4"/>
        <v>-0.15050221731249044</v>
      </c>
      <c r="N8" s="175">
        <f t="shared" si="5"/>
        <v>0.7071275903963298</v>
      </c>
      <c r="O8" s="38">
        <f t="shared" si="0"/>
        <v>1.2280182269097404</v>
      </c>
      <c r="P8">
        <f t="shared" si="1"/>
        <v>0.08920481288623722</v>
      </c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CU8" s="6"/>
    </row>
    <row r="9" spans="1:99" ht="18.75">
      <c r="A9">
        <v>7</v>
      </c>
      <c r="B9">
        <v>0.8</v>
      </c>
      <c r="C9">
        <v>0.07</v>
      </c>
      <c r="E9">
        <f>EXP(SQRT(LN((POWER(C9,2))/(POWER(B9,2))+1)))</f>
        <v>1.0912602385536552</v>
      </c>
      <c r="F9">
        <f>B9/SQRT(POWER(C9,2)/POWER(B9,2)+1)</f>
        <v>0.7969549739968904</v>
      </c>
      <c r="G9" s="6">
        <f>LOG10(E9)</f>
        <v>0.03792833142290043</v>
      </c>
      <c r="H9">
        <f>LOG(F9)</f>
        <v>-0.09856621448478373</v>
      </c>
      <c r="I9" s="173"/>
      <c r="J9">
        <v>5</v>
      </c>
      <c r="K9">
        <f t="shared" si="2"/>
        <v>0.22839506172839505</v>
      </c>
      <c r="L9">
        <f t="shared" si="3"/>
        <v>-0.7441417437803466</v>
      </c>
      <c r="M9" s="174">
        <f t="shared" si="4"/>
        <v>-0.14187202809272148</v>
      </c>
      <c r="N9" s="175">
        <f t="shared" si="5"/>
        <v>0.7213199964972219</v>
      </c>
      <c r="O9" s="38">
        <f t="shared" si="0"/>
        <v>1.2776910962510426</v>
      </c>
      <c r="P9">
        <f t="shared" si="1"/>
        <v>0.10642586836896602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CU9" s="6"/>
    </row>
    <row r="10" spans="7:99" ht="12.75">
      <c r="G10" s="6"/>
      <c r="J10">
        <v>6</v>
      </c>
      <c r="K10">
        <f t="shared" si="2"/>
        <v>0.2777777777777778</v>
      </c>
      <c r="L10">
        <f t="shared" si="3"/>
        <v>-0.589454884902807</v>
      </c>
      <c r="M10" s="174">
        <f t="shared" si="4"/>
        <v>-0.13424330996843678</v>
      </c>
      <c r="N10" s="175">
        <f t="shared" si="5"/>
        <v>0.7341024779571905</v>
      </c>
      <c r="O10" s="38">
        <f t="shared" si="0"/>
        <v>1.3246442999085553</v>
      </c>
      <c r="P10">
        <f t="shared" si="1"/>
        <v>0.12209927500810902</v>
      </c>
      <c r="CU10" s="6"/>
    </row>
    <row r="11" spans="2:99" ht="12.75">
      <c r="B11" t="s">
        <v>153</v>
      </c>
      <c r="G11" s="6"/>
      <c r="J11">
        <v>7</v>
      </c>
      <c r="K11">
        <f t="shared" si="2"/>
        <v>0.3271604938271605</v>
      </c>
      <c r="L11">
        <f t="shared" si="3"/>
        <v>-0.4477669790503569</v>
      </c>
      <c r="M11" s="174">
        <f t="shared" si="4"/>
        <v>-0.12725566342100614</v>
      </c>
      <c r="N11" s="175">
        <f t="shared" si="5"/>
        <v>0.7460094632088515</v>
      </c>
      <c r="O11" s="38">
        <f t="shared" si="0"/>
        <v>1.3704582693854115</v>
      </c>
      <c r="P11">
        <f t="shared" si="1"/>
        <v>0.13686581575908605</v>
      </c>
      <c r="CU11" s="6"/>
    </row>
    <row r="12" spans="1:99" ht="12.75">
      <c r="A12" t="s">
        <v>149</v>
      </c>
      <c r="B12" t="s">
        <v>150</v>
      </c>
      <c r="C12" t="s">
        <v>431</v>
      </c>
      <c r="F12" t="s">
        <v>157</v>
      </c>
      <c r="G12" s="1" t="s">
        <v>384</v>
      </c>
      <c r="H12" t="s">
        <v>158</v>
      </c>
      <c r="J12">
        <v>8</v>
      </c>
      <c r="K12">
        <f t="shared" si="2"/>
        <v>0.3765432098765432</v>
      </c>
      <c r="L12">
        <f t="shared" si="3"/>
        <v>-0.31457261684408877</v>
      </c>
      <c r="M12" s="174">
        <f t="shared" si="4"/>
        <v>-0.12068689440992997</v>
      </c>
      <c r="N12" s="175">
        <f t="shared" si="5"/>
        <v>0.757378732147896</v>
      </c>
      <c r="O12" s="38">
        <f t="shared" si="0"/>
        <v>1.416253619982817</v>
      </c>
      <c r="P12">
        <f t="shared" si="1"/>
        <v>0.15114103294139386</v>
      </c>
      <c r="CU12" s="1"/>
    </row>
    <row r="13" spans="1:99" ht="18.75">
      <c r="A13">
        <v>1</v>
      </c>
      <c r="B13">
        <v>0.11</v>
      </c>
      <c r="C13">
        <v>0.04</v>
      </c>
      <c r="E13">
        <f>EXP(SQRT(LN((POWER(C13,2))/(POWER(B13,2))+1)))</f>
        <v>1.4224867257187652</v>
      </c>
      <c r="F13">
        <f>B13/SQRT(POWER(C13,2)/POWER(B13,2)+1)</f>
        <v>0.10337727658372807</v>
      </c>
      <c r="G13" s="6">
        <f>LOG10(E13)</f>
        <v>0.1530482223613162</v>
      </c>
      <c r="H13">
        <f>LOG(F13)</f>
        <v>-0.9855749132617534</v>
      </c>
      <c r="I13" s="173"/>
      <c r="J13">
        <v>9</v>
      </c>
      <c r="K13">
        <f t="shared" si="2"/>
        <v>0.42592592592592593</v>
      </c>
      <c r="L13">
        <f t="shared" si="3"/>
        <v>-0.18675564206205308</v>
      </c>
      <c r="M13" s="174">
        <f t="shared" si="4"/>
        <v>-0.11438332292889748</v>
      </c>
      <c r="N13" s="175">
        <f t="shared" si="5"/>
        <v>0.7684518793740382</v>
      </c>
      <c r="O13" s="38">
        <f t="shared" si="0"/>
        <v>1.4629675625816783</v>
      </c>
      <c r="P13">
        <f t="shared" si="1"/>
        <v>0.16523469690592707</v>
      </c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CU13" s="6"/>
    </row>
    <row r="14" spans="1:99" ht="18.75">
      <c r="A14">
        <v>3</v>
      </c>
      <c r="B14">
        <v>0.45</v>
      </c>
      <c r="C14">
        <v>0.09</v>
      </c>
      <c r="E14">
        <f>EXP(SQRT(LN((POWER(C14,2))/(POWER(B14,2))+1)))</f>
        <v>1.2190138356507818</v>
      </c>
      <c r="F14">
        <f>B14/SQRT(POWER(C14,2)/POWER(B14,2)+1)</f>
        <v>0.44126130406091396</v>
      </c>
      <c r="G14" s="6">
        <f>LOG10(E14)</f>
        <v>0.08600863483305682</v>
      </c>
      <c r="H14">
        <f>LOG(F14)</f>
        <v>-0.3553041558740466</v>
      </c>
      <c r="I14" s="173"/>
      <c r="J14">
        <f aca="true" t="shared" si="6" ref="J14:J24">J13+1</f>
        <v>10</v>
      </c>
      <c r="K14">
        <f t="shared" si="2"/>
        <v>0.47530864197530864</v>
      </c>
      <c r="L14">
        <f t="shared" si="3"/>
        <v>-0.06193204171722755</v>
      </c>
      <c r="M14" s="174">
        <f t="shared" si="4"/>
        <v>-0.1082273762040183</v>
      </c>
      <c r="N14" s="175">
        <f t="shared" si="5"/>
        <v>0.7794219349443818</v>
      </c>
      <c r="O14" s="38">
        <f t="shared" si="0"/>
        <v>1.5115036102179662</v>
      </c>
      <c r="P14">
        <f t="shared" si="1"/>
        <v>0.17940918882502924</v>
      </c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CU14" s="6"/>
    </row>
    <row r="15" spans="1:99" ht="18.75">
      <c r="A15">
        <v>5</v>
      </c>
      <c r="B15">
        <v>0.68</v>
      </c>
      <c r="C15">
        <v>0.08</v>
      </c>
      <c r="E15">
        <f>EXP(SQRT(LN((POWER(C15,2))/(POWER(B15,2))+1)))</f>
        <v>1.1243926232114547</v>
      </c>
      <c r="F15">
        <f>B15/SQRT(POWER(C15,2)/POWER(B15,2)+1)</f>
        <v>0.6753424109395557</v>
      </c>
      <c r="G15" s="6">
        <f>LOG10(E15)</f>
        <v>0.05091798767440292</v>
      </c>
      <c r="H15">
        <f>LOG(F15)</f>
        <v>-0.17047597609254453</v>
      </c>
      <c r="I15" s="173"/>
      <c r="J15">
        <f t="shared" si="6"/>
        <v>11</v>
      </c>
      <c r="K15">
        <f t="shared" si="2"/>
        <v>0.5246913580246914</v>
      </c>
      <c r="L15">
        <f t="shared" si="3"/>
        <v>0.06193204171722755</v>
      </c>
      <c r="M15" s="174">
        <f t="shared" si="4"/>
        <v>-0.10211875013777692</v>
      </c>
      <c r="N15" s="175">
        <f t="shared" si="5"/>
        <v>0.7904624604812911</v>
      </c>
      <c r="O15" s="38">
        <f t="shared" si="0"/>
        <v>1.5628523694250622</v>
      </c>
      <c r="P15">
        <f t="shared" si="1"/>
        <v>0.19391795551618551</v>
      </c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CU15" s="6"/>
    </row>
    <row r="16" spans="1:99" ht="18.75">
      <c r="A16">
        <v>7</v>
      </c>
      <c r="B16">
        <v>0.79</v>
      </c>
      <c r="C16">
        <v>0.09</v>
      </c>
      <c r="E16">
        <f>EXP(SQRT(LN((POWER(C16,2))/(POWER(B16,2))+1)))</f>
        <v>1.1202557199096284</v>
      </c>
      <c r="F16">
        <f>B16/SQRT(POWER(C16,2)/POWER(B16,2)+1)</f>
        <v>0.7849227862976236</v>
      </c>
      <c r="G16" s="6">
        <f>LOG10(E16)</f>
        <v>0.049317170053366256</v>
      </c>
      <c r="H16">
        <f>LOG(F16)</f>
        <v>-0.10517306317089761</v>
      </c>
      <c r="I16" s="173"/>
      <c r="J16">
        <f t="shared" si="6"/>
        <v>12</v>
      </c>
      <c r="K16">
        <f t="shared" si="2"/>
        <v>0.5740740740740741</v>
      </c>
      <c r="L16">
        <f t="shared" si="3"/>
        <v>0.18675564206205308</v>
      </c>
      <c r="M16" s="174">
        <f t="shared" si="4"/>
        <v>-0.09596280341289774</v>
      </c>
      <c r="N16" s="175">
        <f t="shared" si="5"/>
        <v>0.8017467286970364</v>
      </c>
      <c r="O16" s="38">
        <f t="shared" si="0"/>
        <v>1.6182099177056455</v>
      </c>
      <c r="P16">
        <f t="shared" si="1"/>
        <v>0.2090348585542681</v>
      </c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CU16" s="6"/>
    </row>
    <row r="17" spans="7:99" ht="12.75">
      <c r="G17" s="6"/>
      <c r="J17">
        <f t="shared" si="6"/>
        <v>13</v>
      </c>
      <c r="K17">
        <f t="shared" si="2"/>
        <v>0.6234567901234568</v>
      </c>
      <c r="L17">
        <f t="shared" si="3"/>
        <v>0.31457261684408877</v>
      </c>
      <c r="M17" s="174">
        <f t="shared" si="4"/>
        <v>-0.08965923193186526</v>
      </c>
      <c r="N17" s="175">
        <f t="shared" si="5"/>
        <v>0.8134685518590931</v>
      </c>
      <c r="O17" s="38">
        <f t="shared" si="0"/>
        <v>1.6791554313740356</v>
      </c>
      <c r="P17">
        <f t="shared" si="1"/>
        <v>0.22509089855838693</v>
      </c>
      <c r="CU17" s="6"/>
    </row>
    <row r="18" spans="2:99" ht="12.75">
      <c r="B18" t="s">
        <v>382</v>
      </c>
      <c r="G18" s="6"/>
      <c r="J18">
        <f t="shared" si="6"/>
        <v>14</v>
      </c>
      <c r="K18">
        <f t="shared" si="2"/>
        <v>0.6728395061728395</v>
      </c>
      <c r="L18">
        <f t="shared" si="3"/>
        <v>0.4477669790503569</v>
      </c>
      <c r="M18" s="174">
        <f t="shared" si="4"/>
        <v>-0.08309046292078907</v>
      </c>
      <c r="N18" s="175">
        <f t="shared" si="5"/>
        <v>0.825865904970084</v>
      </c>
      <c r="O18" s="38">
        <f t="shared" si="0"/>
        <v>1.747929615482914</v>
      </c>
      <c r="P18">
        <f t="shared" si="1"/>
        <v>0.24252394075672973</v>
      </c>
      <c r="CU18" s="6"/>
    </row>
    <row r="19" spans="1:99" ht="12.75">
      <c r="A19" t="s">
        <v>149</v>
      </c>
      <c r="B19" t="s">
        <v>150</v>
      </c>
      <c r="C19" t="s">
        <v>431</v>
      </c>
      <c r="F19" t="s">
        <v>157</v>
      </c>
      <c r="G19" s="1" t="s">
        <v>384</v>
      </c>
      <c r="H19" t="s">
        <v>158</v>
      </c>
      <c r="J19">
        <f t="shared" si="6"/>
        <v>15</v>
      </c>
      <c r="K19">
        <f t="shared" si="2"/>
        <v>0.7222222222222222</v>
      </c>
      <c r="L19">
        <f t="shared" si="3"/>
        <v>0.589454884902807</v>
      </c>
      <c r="M19" s="174">
        <f t="shared" si="4"/>
        <v>-0.07610281637335845</v>
      </c>
      <c r="N19" s="175">
        <f t="shared" si="5"/>
        <v>0.8392612733901619</v>
      </c>
      <c r="O19" s="38">
        <f t="shared" si="0"/>
        <v>1.8279750482779793</v>
      </c>
      <c r="P19">
        <f t="shared" si="1"/>
        <v>0.26197026335123424</v>
      </c>
      <c r="CU19" s="1"/>
    </row>
    <row r="20" spans="1:99" ht="18.75">
      <c r="A20">
        <v>1</v>
      </c>
      <c r="B20">
        <v>0.13</v>
      </c>
      <c r="C20">
        <v>0.02</v>
      </c>
      <c r="E20">
        <f>EXP(SQRT(LN((POWER(C20,2))/(POWER(B20,2))+1)))</f>
        <v>1.1652635793527848</v>
      </c>
      <c r="F20">
        <f>B20/SQRT(POWER(C20,2)/POWER(B20,2)+1)</f>
        <v>0.12848832069458022</v>
      </c>
      <c r="G20" s="6">
        <f>LOG10(E20)</f>
        <v>0.0664241726675877</v>
      </c>
      <c r="H20">
        <f>LOG(F20)</f>
        <v>-0.8911363469507242</v>
      </c>
      <c r="I20" s="173"/>
      <c r="J20">
        <f t="shared" si="6"/>
        <v>16</v>
      </c>
      <c r="K20">
        <f t="shared" si="2"/>
        <v>0.7716049382716049</v>
      </c>
      <c r="L20">
        <f t="shared" si="3"/>
        <v>0.7441417437803466</v>
      </c>
      <c r="M20" s="174">
        <f t="shared" si="4"/>
        <v>-0.06847409824907376</v>
      </c>
      <c r="N20" s="175">
        <f t="shared" si="5"/>
        <v>0.8541337872803555</v>
      </c>
      <c r="O20" s="38">
        <f t="shared" si="0"/>
        <v>1.9250654286155684</v>
      </c>
      <c r="P20">
        <f t="shared" si="1"/>
        <v>0.28444549478156306</v>
      </c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CU20" s="6"/>
    </row>
    <row r="21" spans="1:99" ht="18.75">
      <c r="A21">
        <v>3</v>
      </c>
      <c r="B21">
        <v>0.59</v>
      </c>
      <c r="C21">
        <v>0.05</v>
      </c>
      <c r="E21">
        <f>EXP(SQRT(LN((POWER(C21,2))/(POWER(B21,2))+1)))</f>
        <v>1.088275348484701</v>
      </c>
      <c r="F21">
        <f>B21/SQRT(POWER(C21,2)/POWER(B21,2)+1)</f>
        <v>0.5878926998891892</v>
      </c>
      <c r="G21" s="6">
        <f>LOG10(E21)</f>
        <v>0.03673879168408324</v>
      </c>
      <c r="H21">
        <f>LOG(F21)</f>
        <v>-0.23070193259459984</v>
      </c>
      <c r="I21" s="173"/>
      <c r="J21">
        <f t="shared" si="6"/>
        <v>17</v>
      </c>
      <c r="K21">
        <f t="shared" si="2"/>
        <v>0.8209876543209876</v>
      </c>
      <c r="L21">
        <f t="shared" si="3"/>
        <v>0.9191353456117213</v>
      </c>
      <c r="M21" s="174">
        <f t="shared" si="4"/>
        <v>-0.05984390902930479</v>
      </c>
      <c r="N21" s="175">
        <f t="shared" si="5"/>
        <v>0.8712766816295655</v>
      </c>
      <c r="O21" s="38">
        <f t="shared" si="0"/>
        <v>2.05008999687242</v>
      </c>
      <c r="P21">
        <f t="shared" si="1"/>
        <v>0.3117729265616903</v>
      </c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CU21" s="6"/>
    </row>
    <row r="22" spans="1:99" ht="18.75">
      <c r="A22">
        <v>5</v>
      </c>
      <c r="B22">
        <v>0.88</v>
      </c>
      <c r="C22">
        <v>0.04</v>
      </c>
      <c r="E22">
        <f>EXP(SQRT(LN((POWER(C22,2))/(POWER(B22,2))+1)))</f>
        <v>1.0464788925198698</v>
      </c>
      <c r="F22">
        <f>B22/SQRT(POWER(C22,2)/POWER(B22,2)+1)</f>
        <v>0.8790923153850634</v>
      </c>
      <c r="G22" s="6">
        <f>LOG10(E22)</f>
        <v>0.01973047304298563</v>
      </c>
      <c r="H22">
        <f>LOG(F22)</f>
        <v>-0.05596551632875709</v>
      </c>
      <c r="I22" s="173"/>
      <c r="J22">
        <f t="shared" si="6"/>
        <v>18</v>
      </c>
      <c r="K22">
        <f t="shared" si="2"/>
        <v>0.8703703703703703</v>
      </c>
      <c r="L22">
        <f t="shared" si="3"/>
        <v>1.1281440492894035</v>
      </c>
      <c r="M22" s="174">
        <f t="shared" si="4"/>
        <v>-0.0495361912473989</v>
      </c>
      <c r="N22" s="175">
        <f t="shared" si="5"/>
        <v>0.8922032661342746</v>
      </c>
      <c r="O22" s="38">
        <f t="shared" si="0"/>
        <v>2.227507919057838</v>
      </c>
      <c r="P22">
        <f t="shared" si="1"/>
        <v>0.3478192566806329</v>
      </c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CU22" s="6"/>
    </row>
    <row r="23" spans="1:99" ht="18.75">
      <c r="A23">
        <v>7</v>
      </c>
      <c r="B23">
        <v>0.97</v>
      </c>
      <c r="C23">
        <v>0.02</v>
      </c>
      <c r="E23">
        <f>EXP(SQRT(LN((POWER(C23,2))/(POWER(B23,2))+1)))</f>
        <v>1.0208303511133765</v>
      </c>
      <c r="F23">
        <f>B23/SQRT(POWER(C23,2)/POWER(B23,2)+1)</f>
        <v>0.9697938801506691</v>
      </c>
      <c r="G23" s="6">
        <f>LOG10(E23)</f>
        <v>0.008953573921272997</v>
      </c>
      <c r="H23">
        <f>LOG(F23)</f>
        <v>-0.013320560811524006</v>
      </c>
      <c r="I23" s="173"/>
      <c r="J23">
        <f t="shared" si="6"/>
        <v>19</v>
      </c>
      <c r="K23">
        <f t="shared" si="2"/>
        <v>0.9197530864197531</v>
      </c>
      <c r="L23">
        <f t="shared" si="3"/>
        <v>1.4034139894647524</v>
      </c>
      <c r="M23" s="174">
        <f t="shared" si="4"/>
        <v>-0.035960656797191265</v>
      </c>
      <c r="N23" s="175">
        <f t="shared" si="5"/>
        <v>0.9205329600439329</v>
      </c>
      <c r="O23" s="38">
        <f t="shared" si="0"/>
        <v>2.532412935036355</v>
      </c>
      <c r="P23">
        <f t="shared" si="1"/>
        <v>0.403534523140606</v>
      </c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CU23" s="6"/>
    </row>
    <row r="24" spans="10:16" ht="12.75">
      <c r="J24">
        <f t="shared" si="6"/>
        <v>20</v>
      </c>
      <c r="K24">
        <f t="shared" si="2"/>
        <v>0.9691358024691358</v>
      </c>
      <c r="L24">
        <f t="shared" si="3"/>
        <v>1.8682385416468605</v>
      </c>
      <c r="M24" s="174">
        <f t="shared" si="4"/>
        <v>-0.013036825312246411</v>
      </c>
      <c r="N24" s="175">
        <f t="shared" si="5"/>
        <v>0.9704276778799</v>
      </c>
      <c r="O24" s="38">
        <f t="shared" si="0"/>
        <v>3.520916418606856</v>
      </c>
      <c r="P24">
        <f t="shared" si="1"/>
        <v>0.5466557156783437</v>
      </c>
    </row>
    <row r="25" spans="13:16" ht="12.75">
      <c r="M25" s="174"/>
      <c r="N25" s="175"/>
      <c r="P25" s="38"/>
    </row>
    <row r="26" spans="13:16" ht="12.75">
      <c r="M26" s="174"/>
      <c r="N26" s="175"/>
      <c r="P26" s="38"/>
    </row>
    <row r="27" spans="13:16" ht="12.75">
      <c r="M27" s="174"/>
      <c r="N27" s="175"/>
      <c r="P27" s="38"/>
    </row>
    <row r="28" spans="1:16" ht="12.75">
      <c r="A28" t="s">
        <v>153</v>
      </c>
      <c r="P28" s="38"/>
    </row>
    <row r="29" spans="1:16" ht="12.75">
      <c r="A29" t="s">
        <v>111</v>
      </c>
      <c r="P29" s="38"/>
    </row>
    <row r="30" ht="12.75">
      <c r="A30" t="s">
        <v>112</v>
      </c>
    </row>
    <row r="32" spans="1:10" ht="12.75">
      <c r="A32" t="s">
        <v>113</v>
      </c>
      <c r="D32" t="s">
        <v>114</v>
      </c>
      <c r="G32" t="s">
        <v>115</v>
      </c>
      <c r="J32" t="s">
        <v>116</v>
      </c>
    </row>
    <row r="33" spans="1:10" ht="12.75">
      <c r="A33" t="s">
        <v>117</v>
      </c>
      <c r="D33" t="s">
        <v>414</v>
      </c>
      <c r="G33" t="s">
        <v>414</v>
      </c>
      <c r="J33" t="s">
        <v>414</v>
      </c>
    </row>
    <row r="34" spans="1:19" ht="12.75">
      <c r="A34">
        <v>0.96</v>
      </c>
      <c r="B34">
        <f>-LN(1-A34)</f>
        <v>3.2188758248681997</v>
      </c>
      <c r="C34" s="211">
        <f>LOG(B34)</f>
        <v>0.5077042231551</v>
      </c>
      <c r="D34">
        <v>0.81</v>
      </c>
      <c r="E34">
        <f>-LN(1-D34)</f>
        <v>1.660731206821651</v>
      </c>
      <c r="F34" s="211">
        <f>LOG(E34)</f>
        <v>0.22029934657507477</v>
      </c>
      <c r="G34">
        <v>0.61</v>
      </c>
      <c r="H34">
        <f>-LN(1-G34)</f>
        <v>0.9416085398584448</v>
      </c>
      <c r="I34" s="211">
        <f>LOG(H34)</f>
        <v>-0.02612961134072586</v>
      </c>
      <c r="J34">
        <v>0.18</v>
      </c>
      <c r="K34">
        <f>-LN(1-J34)</f>
        <v>0.19845093872383818</v>
      </c>
      <c r="L34" s="211">
        <f>LOG(K34)</f>
        <v>-0.7023468424276733</v>
      </c>
      <c r="M34">
        <v>1</v>
      </c>
      <c r="P34">
        <v>0.1316</v>
      </c>
      <c r="Q34">
        <f>P34^2</f>
        <v>0.01731856</v>
      </c>
      <c r="R34">
        <v>19</v>
      </c>
      <c r="S34">
        <f>Q34*R34</f>
        <v>0.32905264</v>
      </c>
    </row>
    <row r="35" spans="1:19" ht="12.75">
      <c r="A35">
        <v>0.91</v>
      </c>
      <c r="B35">
        <f aca="true" t="shared" si="7" ref="B35:B53">-LN(1-A35)</f>
        <v>2.4079456086518722</v>
      </c>
      <c r="C35" s="211">
        <f aca="true" t="shared" si="8" ref="C35:C53">LOG(B35)</f>
        <v>0.38164667273149216</v>
      </c>
      <c r="D35">
        <v>0.78</v>
      </c>
      <c r="E35">
        <f aca="true" t="shared" si="9" ref="E35:E53">-LN(1-D35)</f>
        <v>1.5141277326297757</v>
      </c>
      <c r="F35" s="211">
        <f aca="true" t="shared" si="10" ref="F35:F53">LOG(E35)</f>
        <v>0.1801625140255562</v>
      </c>
      <c r="G35">
        <v>0.58</v>
      </c>
      <c r="H35">
        <f aca="true" t="shared" si="11" ref="H35:H53">-LN(1-G35)</f>
        <v>0.867500567704723</v>
      </c>
      <c r="I35" s="211">
        <f aca="true" t="shared" si="12" ref="I35:I53">LOG(H35)</f>
        <v>-0.061730232328503255</v>
      </c>
      <c r="J35">
        <v>0.16</v>
      </c>
      <c r="K35">
        <f aca="true" t="shared" si="13" ref="K35:K53">-LN(1-J35)</f>
        <v>0.1743533871447778</v>
      </c>
      <c r="L35" s="211">
        <f aca="true" t="shared" si="14" ref="L35:L53">LOG(K35)</f>
        <v>-0.7585696112131687</v>
      </c>
      <c r="M35">
        <v>2</v>
      </c>
      <c r="P35">
        <v>0.0922</v>
      </c>
      <c r="Q35">
        <f>P35^2</f>
        <v>0.00850084</v>
      </c>
      <c r="R35">
        <v>19</v>
      </c>
      <c r="S35">
        <f>Q35*R35</f>
        <v>0.16151596000000001</v>
      </c>
    </row>
    <row r="36" spans="1:19" ht="12.75">
      <c r="A36">
        <v>0.89</v>
      </c>
      <c r="B36">
        <f t="shared" si="7"/>
        <v>2.207274913189721</v>
      </c>
      <c r="C36" s="211">
        <f t="shared" si="8"/>
        <v>0.343856427337392</v>
      </c>
      <c r="D36">
        <v>0.78</v>
      </c>
      <c r="E36">
        <f t="shared" si="9"/>
        <v>1.5141277326297757</v>
      </c>
      <c r="F36" s="211">
        <f t="shared" si="10"/>
        <v>0.1801625140255562</v>
      </c>
      <c r="G36">
        <v>0.54</v>
      </c>
      <c r="H36">
        <f t="shared" si="11"/>
        <v>0.7765287894989965</v>
      </c>
      <c r="I36" s="211">
        <f t="shared" si="12"/>
        <v>-0.1098424383400924</v>
      </c>
      <c r="J36">
        <v>0.16</v>
      </c>
      <c r="K36">
        <f t="shared" si="13"/>
        <v>0.1743533871447778</v>
      </c>
      <c r="L36" s="211">
        <f t="shared" si="14"/>
        <v>-0.7585696112131687</v>
      </c>
      <c r="M36">
        <v>3</v>
      </c>
      <c r="P36">
        <v>0.1092</v>
      </c>
      <c r="Q36">
        <f>P36^2</f>
        <v>0.011924640000000002</v>
      </c>
      <c r="R36">
        <v>19</v>
      </c>
      <c r="S36">
        <f>Q36*R36</f>
        <v>0.22656816000000005</v>
      </c>
    </row>
    <row r="37" spans="1:19" ht="12.75">
      <c r="A37">
        <v>0.84</v>
      </c>
      <c r="B37">
        <f t="shared" si="7"/>
        <v>1.83258146374831</v>
      </c>
      <c r="C37" s="211">
        <f t="shared" si="8"/>
        <v>0.26306328943594726</v>
      </c>
      <c r="D37">
        <v>0.74</v>
      </c>
      <c r="E37">
        <f t="shared" si="9"/>
        <v>1.3470736479666092</v>
      </c>
      <c r="F37" s="211">
        <f t="shared" si="10"/>
        <v>0.1293913403637707</v>
      </c>
      <c r="G37">
        <v>0.54</v>
      </c>
      <c r="H37">
        <f t="shared" si="11"/>
        <v>0.7765287894989965</v>
      </c>
      <c r="I37" s="211">
        <f t="shared" si="12"/>
        <v>-0.1098424383400924</v>
      </c>
      <c r="J37">
        <v>0.16</v>
      </c>
      <c r="K37">
        <f t="shared" si="13"/>
        <v>0.1743533871447778</v>
      </c>
      <c r="L37" s="211">
        <f t="shared" si="14"/>
        <v>-0.7585696112131687</v>
      </c>
      <c r="M37">
        <v>4</v>
      </c>
      <c r="P37">
        <v>0.1707</v>
      </c>
      <c r="Q37">
        <f>P37^2</f>
        <v>0.029138489999999996</v>
      </c>
      <c r="R37">
        <v>19</v>
      </c>
      <c r="S37">
        <f>Q37*R37</f>
        <v>0.5536313099999999</v>
      </c>
    </row>
    <row r="38" spans="1:19" ht="12.75">
      <c r="A38">
        <v>0.84</v>
      </c>
      <c r="B38">
        <f t="shared" si="7"/>
        <v>1.83258146374831</v>
      </c>
      <c r="C38" s="211">
        <f t="shared" si="8"/>
        <v>0.26306328943594726</v>
      </c>
      <c r="D38">
        <v>0.74</v>
      </c>
      <c r="E38">
        <f t="shared" si="9"/>
        <v>1.3470736479666092</v>
      </c>
      <c r="F38" s="211">
        <f t="shared" si="10"/>
        <v>0.1293913403637707</v>
      </c>
      <c r="G38">
        <v>0.51</v>
      </c>
      <c r="H38">
        <f t="shared" si="11"/>
        <v>0.7133498878774648</v>
      </c>
      <c r="I38" s="211">
        <f t="shared" si="12"/>
        <v>-0.1466974026829814</v>
      </c>
      <c r="J38">
        <v>0.16</v>
      </c>
      <c r="K38">
        <f t="shared" si="13"/>
        <v>0.1743533871447778</v>
      </c>
      <c r="L38" s="211">
        <f t="shared" si="14"/>
        <v>-0.7585696112131687</v>
      </c>
      <c r="M38">
        <v>5</v>
      </c>
      <c r="R38">
        <f>SUM(R34:R37)</f>
        <v>76</v>
      </c>
      <c r="S38">
        <f>SUM(S34:S37)</f>
        <v>1.27076807</v>
      </c>
    </row>
    <row r="39" spans="1:17" ht="12.75">
      <c r="A39">
        <v>0.81</v>
      </c>
      <c r="B39">
        <f t="shared" si="7"/>
        <v>1.660731206821651</v>
      </c>
      <c r="C39" s="211">
        <f t="shared" si="8"/>
        <v>0.22029934657507477</v>
      </c>
      <c r="D39">
        <v>0.74</v>
      </c>
      <c r="E39">
        <f t="shared" si="9"/>
        <v>1.3470736479666092</v>
      </c>
      <c r="F39" s="211">
        <f t="shared" si="10"/>
        <v>0.1293913403637707</v>
      </c>
      <c r="G39">
        <v>0.49</v>
      </c>
      <c r="H39">
        <f t="shared" si="11"/>
        <v>0.6733445532637656</v>
      </c>
      <c r="I39" s="211">
        <f t="shared" si="12"/>
        <v>-0.17176264857015267</v>
      </c>
      <c r="J39">
        <v>0.11</v>
      </c>
      <c r="K39">
        <f t="shared" si="13"/>
        <v>0.11653381625595151</v>
      </c>
      <c r="L39" s="211">
        <f t="shared" si="14"/>
        <v>-0.9335480310130718</v>
      </c>
      <c r="M39">
        <v>6</v>
      </c>
      <c r="Q39" s="178">
        <f>SQRT(S38/R38)</f>
        <v>0.12930828473071632</v>
      </c>
    </row>
    <row r="40" spans="1:13" ht="12.75">
      <c r="A40">
        <v>0.81</v>
      </c>
      <c r="B40">
        <f t="shared" si="7"/>
        <v>1.660731206821651</v>
      </c>
      <c r="C40" s="211">
        <f t="shared" si="8"/>
        <v>0.22029934657507477</v>
      </c>
      <c r="D40">
        <v>0.69</v>
      </c>
      <c r="E40">
        <f t="shared" si="9"/>
        <v>1.1711829815029449</v>
      </c>
      <c r="F40" s="211">
        <f t="shared" si="10"/>
        <v>0.06862475301327431</v>
      </c>
      <c r="G40">
        <v>0.48</v>
      </c>
      <c r="H40">
        <f t="shared" si="11"/>
        <v>0.6539264674066639</v>
      </c>
      <c r="I40" s="211">
        <f t="shared" si="12"/>
        <v>-0.18447108438973517</v>
      </c>
      <c r="J40">
        <v>0.11</v>
      </c>
      <c r="K40">
        <f t="shared" si="13"/>
        <v>0.11653381625595151</v>
      </c>
      <c r="L40" s="211">
        <f t="shared" si="14"/>
        <v>-0.9335480310130718</v>
      </c>
      <c r="M40">
        <v>7</v>
      </c>
    </row>
    <row r="41" spans="1:13" ht="12.75">
      <c r="A41">
        <v>0.81</v>
      </c>
      <c r="B41">
        <f t="shared" si="7"/>
        <v>1.660731206821651</v>
      </c>
      <c r="C41" s="211">
        <f t="shared" si="8"/>
        <v>0.22029934657507477</v>
      </c>
      <c r="D41">
        <v>0.69</v>
      </c>
      <c r="E41">
        <f t="shared" si="9"/>
        <v>1.1711829815029449</v>
      </c>
      <c r="F41" s="211">
        <f t="shared" si="10"/>
        <v>0.06862475301327431</v>
      </c>
      <c r="G41">
        <v>0.48</v>
      </c>
      <c r="H41">
        <f t="shared" si="11"/>
        <v>0.6539264674066639</v>
      </c>
      <c r="I41" s="211">
        <f t="shared" si="12"/>
        <v>-0.18447108438973517</v>
      </c>
      <c r="J41">
        <v>0.11</v>
      </c>
      <c r="K41">
        <f t="shared" si="13"/>
        <v>0.11653381625595151</v>
      </c>
      <c r="L41" s="211">
        <f t="shared" si="14"/>
        <v>-0.9335480310130718</v>
      </c>
      <c r="M41">
        <v>8</v>
      </c>
    </row>
    <row r="42" spans="1:13" ht="12.75">
      <c r="A42">
        <v>0.81</v>
      </c>
      <c r="B42">
        <f t="shared" si="7"/>
        <v>1.660731206821651</v>
      </c>
      <c r="C42" s="211">
        <f t="shared" si="8"/>
        <v>0.22029934657507477</v>
      </c>
      <c r="D42">
        <v>0.69</v>
      </c>
      <c r="E42">
        <f t="shared" si="9"/>
        <v>1.1711829815029449</v>
      </c>
      <c r="F42" s="211">
        <f t="shared" si="10"/>
        <v>0.06862475301327431</v>
      </c>
      <c r="G42">
        <v>0.48</v>
      </c>
      <c r="H42">
        <f t="shared" si="11"/>
        <v>0.6539264674066639</v>
      </c>
      <c r="I42" s="211">
        <f t="shared" si="12"/>
        <v>-0.18447108438973517</v>
      </c>
      <c r="J42">
        <v>0.11</v>
      </c>
      <c r="K42">
        <f t="shared" si="13"/>
        <v>0.11653381625595151</v>
      </c>
      <c r="L42" s="211">
        <f t="shared" si="14"/>
        <v>-0.9335480310130718</v>
      </c>
      <c r="M42">
        <v>9</v>
      </c>
    </row>
    <row r="43" spans="1:13" ht="12.75">
      <c r="A43">
        <v>0.79</v>
      </c>
      <c r="B43">
        <f t="shared" si="7"/>
        <v>1.5606477482646686</v>
      </c>
      <c r="C43" s="211">
        <f t="shared" si="8"/>
        <v>0.19330489009113996</v>
      </c>
      <c r="D43">
        <v>0.69</v>
      </c>
      <c r="E43">
        <f t="shared" si="9"/>
        <v>1.1711829815029449</v>
      </c>
      <c r="F43" s="211">
        <f t="shared" si="10"/>
        <v>0.06862475301327431</v>
      </c>
      <c r="G43">
        <v>0.46</v>
      </c>
      <c r="H43">
        <f t="shared" si="11"/>
        <v>0.616186139423817</v>
      </c>
      <c r="I43" s="211">
        <f t="shared" si="12"/>
        <v>-0.21028807498930588</v>
      </c>
      <c r="J43">
        <v>0.11</v>
      </c>
      <c r="K43">
        <f t="shared" si="13"/>
        <v>0.11653381625595151</v>
      </c>
      <c r="L43" s="211">
        <f t="shared" si="14"/>
        <v>-0.9335480310130718</v>
      </c>
      <c r="M43">
        <v>10</v>
      </c>
    </row>
    <row r="44" spans="1:13" ht="12.75">
      <c r="A44">
        <v>0.79</v>
      </c>
      <c r="B44">
        <f t="shared" si="7"/>
        <v>1.5606477482646686</v>
      </c>
      <c r="C44" s="211">
        <f t="shared" si="8"/>
        <v>0.19330489009113996</v>
      </c>
      <c r="D44">
        <v>0.69</v>
      </c>
      <c r="E44">
        <f t="shared" si="9"/>
        <v>1.1711829815029449</v>
      </c>
      <c r="F44" s="211">
        <f t="shared" si="10"/>
        <v>0.06862475301327431</v>
      </c>
      <c r="G44">
        <v>0.44</v>
      </c>
      <c r="H44">
        <f t="shared" si="11"/>
        <v>0.579818495252942</v>
      </c>
      <c r="I44" s="211">
        <f t="shared" si="12"/>
        <v>-0.2367079354829482</v>
      </c>
      <c r="J44">
        <v>0.11</v>
      </c>
      <c r="K44">
        <f t="shared" si="13"/>
        <v>0.11653381625595151</v>
      </c>
      <c r="L44" s="211">
        <f t="shared" si="14"/>
        <v>-0.9335480310130718</v>
      </c>
      <c r="M44">
        <v>11</v>
      </c>
    </row>
    <row r="45" spans="1:13" ht="12.75">
      <c r="A45">
        <v>0.76</v>
      </c>
      <c r="B45">
        <f t="shared" si="7"/>
        <v>1.4271163556401458</v>
      </c>
      <c r="C45" s="211">
        <f t="shared" si="8"/>
        <v>0.15445938345268856</v>
      </c>
      <c r="D45">
        <v>0.67</v>
      </c>
      <c r="E45">
        <f t="shared" si="9"/>
        <v>1.1086626245216111</v>
      </c>
      <c r="F45" s="211">
        <f t="shared" si="10"/>
        <v>0.04479940674427135</v>
      </c>
      <c r="G45">
        <v>0.44</v>
      </c>
      <c r="H45">
        <f t="shared" si="11"/>
        <v>0.579818495252942</v>
      </c>
      <c r="I45" s="211">
        <f t="shared" si="12"/>
        <v>-0.2367079354829482</v>
      </c>
      <c r="J45">
        <v>0.11</v>
      </c>
      <c r="K45">
        <f t="shared" si="13"/>
        <v>0.11653381625595151</v>
      </c>
      <c r="L45" s="211">
        <f t="shared" si="14"/>
        <v>-0.9335480310130718</v>
      </c>
      <c r="M45">
        <v>12</v>
      </c>
    </row>
    <row r="46" spans="1:13" ht="12.75">
      <c r="A46">
        <v>0.76</v>
      </c>
      <c r="B46">
        <f t="shared" si="7"/>
        <v>1.4271163556401458</v>
      </c>
      <c r="C46" s="211">
        <f t="shared" si="8"/>
        <v>0.15445938345268856</v>
      </c>
      <c r="D46">
        <v>0.67</v>
      </c>
      <c r="E46">
        <f t="shared" si="9"/>
        <v>1.1086626245216111</v>
      </c>
      <c r="F46" s="211">
        <f t="shared" si="10"/>
        <v>0.04479940674427135</v>
      </c>
      <c r="G46">
        <v>0.44</v>
      </c>
      <c r="H46">
        <f t="shared" si="11"/>
        <v>0.579818495252942</v>
      </c>
      <c r="I46" s="211">
        <f t="shared" si="12"/>
        <v>-0.2367079354829482</v>
      </c>
      <c r="J46">
        <v>0.09</v>
      </c>
      <c r="K46">
        <f t="shared" si="13"/>
        <v>0.09431067947124128</v>
      </c>
      <c r="L46" s="211">
        <f t="shared" si="14"/>
        <v>-1.02543912621473</v>
      </c>
      <c r="M46">
        <v>13</v>
      </c>
    </row>
    <row r="47" spans="1:13" ht="12.75">
      <c r="A47">
        <v>0.76</v>
      </c>
      <c r="B47">
        <f t="shared" si="7"/>
        <v>1.4271163556401458</v>
      </c>
      <c r="C47" s="211">
        <f t="shared" si="8"/>
        <v>0.15445938345268856</v>
      </c>
      <c r="D47">
        <v>0.67</v>
      </c>
      <c r="E47">
        <f t="shared" si="9"/>
        <v>1.1086626245216111</v>
      </c>
      <c r="F47" s="211">
        <f t="shared" si="10"/>
        <v>0.04479940674427135</v>
      </c>
      <c r="G47">
        <v>0.41</v>
      </c>
      <c r="H47">
        <f t="shared" si="11"/>
        <v>0.5276327420823718</v>
      </c>
      <c r="I47" s="211">
        <f t="shared" si="12"/>
        <v>-0.27766826228319447</v>
      </c>
      <c r="J47">
        <v>0.09</v>
      </c>
      <c r="K47">
        <f t="shared" si="13"/>
        <v>0.09431067947124128</v>
      </c>
      <c r="L47" s="211">
        <f t="shared" si="14"/>
        <v>-1.02543912621473</v>
      </c>
      <c r="M47">
        <v>14</v>
      </c>
    </row>
    <row r="48" spans="1:13" ht="12.75">
      <c r="A48">
        <v>0.76</v>
      </c>
      <c r="B48">
        <f t="shared" si="7"/>
        <v>1.4271163556401458</v>
      </c>
      <c r="C48" s="211">
        <f t="shared" si="8"/>
        <v>0.15445938345268856</v>
      </c>
      <c r="D48">
        <v>0.64</v>
      </c>
      <c r="E48">
        <f t="shared" si="9"/>
        <v>1.0216512475319814</v>
      </c>
      <c r="F48" s="211">
        <f t="shared" si="10"/>
        <v>0.00930266965290335</v>
      </c>
      <c r="G48">
        <v>0.39</v>
      </c>
      <c r="H48">
        <f t="shared" si="11"/>
        <v>0.4942963218147801</v>
      </c>
      <c r="I48" s="211">
        <f t="shared" si="12"/>
        <v>-0.3060126212233984</v>
      </c>
      <c r="J48">
        <v>0.09</v>
      </c>
      <c r="K48">
        <f t="shared" si="13"/>
        <v>0.09431067947124128</v>
      </c>
      <c r="L48" s="211">
        <f t="shared" si="14"/>
        <v>-1.02543912621473</v>
      </c>
      <c r="M48">
        <v>15</v>
      </c>
    </row>
    <row r="49" spans="1:13" ht="12.75">
      <c r="A49">
        <v>0.76</v>
      </c>
      <c r="B49">
        <f t="shared" si="7"/>
        <v>1.4271163556401458</v>
      </c>
      <c r="C49" s="211">
        <f t="shared" si="8"/>
        <v>0.15445938345268856</v>
      </c>
      <c r="D49">
        <v>0.64</v>
      </c>
      <c r="E49">
        <f t="shared" si="9"/>
        <v>1.0216512475319814</v>
      </c>
      <c r="F49" s="211">
        <f t="shared" si="10"/>
        <v>0.00930266965290335</v>
      </c>
      <c r="G49">
        <v>0.39</v>
      </c>
      <c r="H49">
        <f t="shared" si="11"/>
        <v>0.4942963218147801</v>
      </c>
      <c r="I49" s="211">
        <f t="shared" si="12"/>
        <v>-0.3060126212233984</v>
      </c>
      <c r="J49">
        <v>0.06</v>
      </c>
      <c r="K49">
        <f t="shared" si="13"/>
        <v>0.06187540371808752</v>
      </c>
      <c r="L49" s="211">
        <f t="shared" si="14"/>
        <v>-1.208481954410445</v>
      </c>
      <c r="M49">
        <v>16</v>
      </c>
    </row>
    <row r="50" spans="1:13" ht="12.75">
      <c r="A50">
        <v>0.71</v>
      </c>
      <c r="B50">
        <f t="shared" si="7"/>
        <v>1.2378743560016172</v>
      </c>
      <c r="C50" s="211">
        <f t="shared" si="8"/>
        <v>0.0926765661184026</v>
      </c>
      <c r="D50">
        <v>0.64</v>
      </c>
      <c r="E50">
        <f t="shared" si="9"/>
        <v>1.0216512475319814</v>
      </c>
      <c r="F50" s="211">
        <f t="shared" si="10"/>
        <v>0.00930266965290335</v>
      </c>
      <c r="G50">
        <v>0.36</v>
      </c>
      <c r="H50">
        <f t="shared" si="11"/>
        <v>0.44628710262841953</v>
      </c>
      <c r="I50" s="211">
        <f t="shared" si="12"/>
        <v>-0.350385663771713</v>
      </c>
      <c r="J50">
        <v>0.06</v>
      </c>
      <c r="K50">
        <f t="shared" si="13"/>
        <v>0.06187540371808752</v>
      </c>
      <c r="L50" s="211">
        <f t="shared" si="14"/>
        <v>-1.208481954410445</v>
      </c>
      <c r="M50">
        <v>17</v>
      </c>
    </row>
    <row r="51" spans="1:13" ht="12.75">
      <c r="A51">
        <v>0.66</v>
      </c>
      <c r="B51">
        <f t="shared" si="7"/>
        <v>1.0788096613719302</v>
      </c>
      <c r="C51" s="211">
        <f t="shared" si="8"/>
        <v>0.03294482715954156</v>
      </c>
      <c r="D51">
        <v>0.59</v>
      </c>
      <c r="E51">
        <f t="shared" si="9"/>
        <v>0.8915981192837835</v>
      </c>
      <c r="F51" s="211">
        <f t="shared" si="10"/>
        <v>-0.04983085628145476</v>
      </c>
      <c r="G51">
        <v>0.36</v>
      </c>
      <c r="H51">
        <f t="shared" si="11"/>
        <v>0.44628710262841953</v>
      </c>
      <c r="I51" s="211">
        <f t="shared" si="12"/>
        <v>-0.350385663771713</v>
      </c>
      <c r="J51">
        <v>0.06</v>
      </c>
      <c r="K51">
        <f t="shared" si="13"/>
        <v>0.06187540371808752</v>
      </c>
      <c r="L51" s="211">
        <f t="shared" si="14"/>
        <v>-1.208481954410445</v>
      </c>
      <c r="M51">
        <v>18</v>
      </c>
    </row>
    <row r="52" spans="1:13" ht="12.75">
      <c r="A52">
        <v>0.63</v>
      </c>
      <c r="B52">
        <f t="shared" si="7"/>
        <v>0.994252273343867</v>
      </c>
      <c r="C52" s="211">
        <f t="shared" si="8"/>
        <v>-0.002503407332609969</v>
      </c>
      <c r="D52">
        <v>0.54</v>
      </c>
      <c r="E52">
        <f t="shared" si="9"/>
        <v>0.7765287894989965</v>
      </c>
      <c r="F52" s="211">
        <f t="shared" si="10"/>
        <v>-0.1098424383400924</v>
      </c>
      <c r="G52">
        <v>0.33</v>
      </c>
      <c r="H52">
        <f t="shared" si="11"/>
        <v>0.4004775665971254</v>
      </c>
      <c r="I52" s="211">
        <f t="shared" si="12"/>
        <v>-0.3974218066108305</v>
      </c>
      <c r="J52">
        <v>0.06</v>
      </c>
      <c r="K52">
        <f t="shared" si="13"/>
        <v>0.06187540371808752</v>
      </c>
      <c r="L52" s="211">
        <f t="shared" si="14"/>
        <v>-1.208481954410445</v>
      </c>
      <c r="M52">
        <v>19</v>
      </c>
    </row>
    <row r="53" spans="1:13" ht="12.75">
      <c r="A53">
        <v>0.56</v>
      </c>
      <c r="B53">
        <f t="shared" si="7"/>
        <v>0.8209805520698303</v>
      </c>
      <c r="C53" s="211">
        <f t="shared" si="8"/>
        <v>-0.08566713061356175</v>
      </c>
      <c r="D53">
        <v>0.51</v>
      </c>
      <c r="E53">
        <f t="shared" si="9"/>
        <v>0.7133498878774648</v>
      </c>
      <c r="F53" s="211">
        <f t="shared" si="10"/>
        <v>-0.1466974026829814</v>
      </c>
      <c r="G53">
        <v>0.31</v>
      </c>
      <c r="H53">
        <f t="shared" si="11"/>
        <v>0.371063681390832</v>
      </c>
      <c r="I53" s="211">
        <f t="shared" si="12"/>
        <v>-0.4305515510229028</v>
      </c>
      <c r="J53">
        <v>0.06</v>
      </c>
      <c r="K53">
        <f t="shared" si="13"/>
        <v>0.06187540371808752</v>
      </c>
      <c r="L53" s="211">
        <f t="shared" si="14"/>
        <v>-1.208481954410445</v>
      </c>
      <c r="M53">
        <v>20</v>
      </c>
    </row>
    <row r="54" spans="3:12" ht="12.75">
      <c r="C54" s="178">
        <f>STDEV(C34:C53)</f>
        <v>0.13161796793313157</v>
      </c>
      <c r="F54" s="178">
        <f>STDEV(F34:F53)</f>
        <v>0.09216021775406656</v>
      </c>
      <c r="I54" s="178">
        <f>STDEV(I34:I53)</f>
        <v>0.10919734285148217</v>
      </c>
      <c r="L54" s="178">
        <f>STDEV(L34:L53)</f>
        <v>0.17065424604781673</v>
      </c>
    </row>
    <row r="56" ht="12.75">
      <c r="A56" s="210"/>
    </row>
    <row r="58" ht="12.75">
      <c r="A58" s="210"/>
    </row>
    <row r="60" ht="12.75">
      <c r="A60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8"/>
  <sheetViews>
    <sheetView workbookViewId="0" topLeftCell="A150">
      <selection activeCell="A1" sqref="A1"/>
    </sheetView>
  </sheetViews>
  <sheetFormatPr defaultColWidth="11.00390625" defaultRowHeight="12"/>
  <cols>
    <col min="1" max="16384" width="10.875" style="10" customWidth="1"/>
  </cols>
  <sheetData>
    <row r="1" spans="1:20" ht="18.75">
      <c r="A1" s="9" t="s">
        <v>135</v>
      </c>
      <c r="M1" s="28" t="s">
        <v>228</v>
      </c>
      <c r="N1" s="27"/>
      <c r="O1" s="28" t="s">
        <v>531</v>
      </c>
      <c r="Q1" s="27"/>
      <c r="T1" s="27"/>
    </row>
    <row r="2" ht="18.75">
      <c r="A2" s="79" t="s">
        <v>182</v>
      </c>
    </row>
    <row r="3" spans="1:21" ht="15">
      <c r="A3" s="26" t="s">
        <v>127</v>
      </c>
      <c r="B3" s="15" t="s">
        <v>214</v>
      </c>
      <c r="C3" s="16" t="s">
        <v>137</v>
      </c>
      <c r="D3" s="15" t="s">
        <v>340</v>
      </c>
      <c r="E3" s="15" t="s">
        <v>341</v>
      </c>
      <c r="F3" s="15" t="s">
        <v>598</v>
      </c>
      <c r="G3" s="15" t="s">
        <v>170</v>
      </c>
      <c r="H3" s="15" t="s">
        <v>126</v>
      </c>
      <c r="I3" s="23" t="s">
        <v>384</v>
      </c>
      <c r="J3" s="87" t="s">
        <v>323</v>
      </c>
      <c r="K3" s="23"/>
      <c r="L3" s="26" t="s">
        <v>127</v>
      </c>
      <c r="M3" s="15" t="s">
        <v>214</v>
      </c>
      <c r="N3" s="16" t="s">
        <v>454</v>
      </c>
      <c r="O3" s="15" t="s">
        <v>340</v>
      </c>
      <c r="P3" s="15" t="s">
        <v>341</v>
      </c>
      <c r="Q3" s="15" t="s">
        <v>598</v>
      </c>
      <c r="R3" s="15" t="s">
        <v>170</v>
      </c>
      <c r="S3" s="15" t="s">
        <v>126</v>
      </c>
      <c r="T3" s="14" t="s">
        <v>384</v>
      </c>
      <c r="U3" s="87" t="s">
        <v>323</v>
      </c>
    </row>
    <row r="4" spans="1:20" ht="12.75">
      <c r="A4" s="15"/>
      <c r="B4" s="15"/>
      <c r="C4" s="17" t="s">
        <v>138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7" t="s">
        <v>137</v>
      </c>
      <c r="O4" s="15"/>
      <c r="P4" s="15"/>
      <c r="Q4" s="15"/>
      <c r="R4" s="15"/>
      <c r="S4" s="15"/>
      <c r="T4" s="15"/>
    </row>
    <row r="5" spans="1:20" ht="12.75">
      <c r="A5" s="15">
        <v>1</v>
      </c>
      <c r="B5" s="15" t="s">
        <v>136</v>
      </c>
      <c r="C5" s="15">
        <v>0.04</v>
      </c>
      <c r="D5" s="18">
        <f>LOG10(C5)</f>
        <v>-1.3979400086720375</v>
      </c>
      <c r="E5" s="15"/>
      <c r="F5" s="15"/>
      <c r="G5" s="15"/>
      <c r="H5" s="15"/>
      <c r="I5" s="15"/>
      <c r="J5" s="15"/>
      <c r="K5" s="15"/>
      <c r="L5" s="15">
        <v>1</v>
      </c>
      <c r="M5" s="15" t="s">
        <v>136</v>
      </c>
      <c r="N5" s="15">
        <v>0.02</v>
      </c>
      <c r="O5" s="18">
        <f>LOG10(N5)</f>
        <v>-1.6989700043360187</v>
      </c>
      <c r="P5" s="15"/>
      <c r="Q5" s="15"/>
      <c r="R5" s="15"/>
      <c r="S5" s="15"/>
      <c r="T5" s="15"/>
    </row>
    <row r="6" spans="1:20" ht="12.75">
      <c r="A6" s="15">
        <v>3</v>
      </c>
      <c r="B6" s="15" t="s">
        <v>136</v>
      </c>
      <c r="C6" s="15">
        <v>0.06</v>
      </c>
      <c r="D6" s="18">
        <f>LOG10(C6)</f>
        <v>-1.2218487496163564</v>
      </c>
      <c r="E6" s="15"/>
      <c r="F6" s="15"/>
      <c r="G6" s="15"/>
      <c r="H6" s="15"/>
      <c r="I6" s="15"/>
      <c r="J6" s="15"/>
      <c r="K6" s="15"/>
      <c r="L6" s="15">
        <v>3</v>
      </c>
      <c r="M6" s="15" t="s">
        <v>136</v>
      </c>
      <c r="N6" s="15">
        <v>0.08</v>
      </c>
      <c r="O6" s="18">
        <f>LOG10(N6)</f>
        <v>-1.0969100130080565</v>
      </c>
      <c r="P6" s="15"/>
      <c r="Q6" s="15"/>
      <c r="R6" s="15"/>
      <c r="S6" s="15"/>
      <c r="T6" s="15"/>
    </row>
    <row r="7" spans="1:20" ht="12.75">
      <c r="A7" s="15">
        <v>5</v>
      </c>
      <c r="B7" s="15" t="s">
        <v>136</v>
      </c>
      <c r="C7" s="15">
        <v>0.01</v>
      </c>
      <c r="D7" s="18">
        <f>LOG10(C7)</f>
        <v>-2</v>
      </c>
      <c r="E7" s="15"/>
      <c r="F7" s="15"/>
      <c r="G7" s="15"/>
      <c r="H7" s="15"/>
      <c r="I7" s="19"/>
      <c r="J7" s="19"/>
      <c r="K7" s="19"/>
      <c r="L7" s="15">
        <v>5</v>
      </c>
      <c r="M7" s="15" t="s">
        <v>136</v>
      </c>
      <c r="N7" s="15">
        <v>0.01</v>
      </c>
      <c r="O7" s="18">
        <f>LOG10(N7)</f>
        <v>-2</v>
      </c>
      <c r="P7" s="15"/>
      <c r="Q7" s="15"/>
      <c r="R7" s="15"/>
      <c r="S7" s="15"/>
      <c r="T7" s="19"/>
    </row>
    <row r="8" spans="1:21" ht="12.75">
      <c r="A8" s="15">
        <v>6</v>
      </c>
      <c r="B8" s="15" t="s">
        <v>136</v>
      </c>
      <c r="C8" s="15">
        <v>0.04</v>
      </c>
      <c r="D8" s="18">
        <f>LOG10(C8)</f>
        <v>-1.3979400086720375</v>
      </c>
      <c r="E8" s="95">
        <f>STDEV(D5:D8)</f>
        <v>0.3406474347744449</v>
      </c>
      <c r="F8" s="18">
        <f>AVERAGE(C5:C8)</f>
        <v>0.0375</v>
      </c>
      <c r="G8" s="18">
        <f>STDEV(C5:C8)</f>
        <v>0.020615528128088305</v>
      </c>
      <c r="H8" s="18">
        <f>EXP(SQRT(LN(POWER(G8,2)/POWER(F8,2)+1)))</f>
        <v>1.671764347939424</v>
      </c>
      <c r="I8" s="21">
        <f>LOG10(H8)</f>
        <v>0.22317505922601502</v>
      </c>
      <c r="J8" s="88">
        <f>E8/I8</f>
        <v>1.5263687436930964</v>
      </c>
      <c r="K8" s="21"/>
      <c r="L8" s="15">
        <v>6</v>
      </c>
      <c r="M8" s="15" t="s">
        <v>136</v>
      </c>
      <c r="N8" s="15">
        <v>0.04</v>
      </c>
      <c r="O8" s="18">
        <f>LOG10(N8)</f>
        <v>-1.3979400086720375</v>
      </c>
      <c r="P8" s="20">
        <f>STDEV(O5:O8)</f>
        <v>0.3886280533051637</v>
      </c>
      <c r="Q8" s="18">
        <f>AVERAGE(N5:N8)</f>
        <v>0.0375</v>
      </c>
      <c r="R8" s="18">
        <f>STDEV(N5:N8)</f>
        <v>0.03095695936834452</v>
      </c>
      <c r="S8" s="18">
        <f>EXP(SQRT(LN(POWER(R8,2)/POWER(Q8,2)+1)))</f>
        <v>2.0562522684220115</v>
      </c>
      <c r="T8" s="21">
        <f>LOG10(S8)</f>
        <v>0.31307639440049023</v>
      </c>
      <c r="U8" s="88">
        <f>P8/T8</f>
        <v>1.2413202025318686</v>
      </c>
    </row>
    <row r="9" spans="1:20" ht="12.75">
      <c r="A9" s="15"/>
      <c r="B9" s="15"/>
      <c r="C9" s="17" t="s">
        <v>325</v>
      </c>
      <c r="D9" s="15"/>
      <c r="E9" s="95"/>
      <c r="F9" s="18"/>
      <c r="G9" s="18"/>
      <c r="H9" s="15"/>
      <c r="I9" s="23"/>
      <c r="J9" s="23"/>
      <c r="K9" s="23"/>
      <c r="L9" s="15"/>
      <c r="M9" s="15"/>
      <c r="N9" s="17" t="s">
        <v>493</v>
      </c>
      <c r="O9" s="15"/>
      <c r="P9" s="22"/>
      <c r="Q9" s="18"/>
      <c r="R9" s="18"/>
      <c r="S9" s="15"/>
      <c r="T9" s="23"/>
    </row>
    <row r="10" spans="1:20" ht="12.75">
      <c r="A10" s="15">
        <v>1</v>
      </c>
      <c r="B10" s="15" t="s">
        <v>136</v>
      </c>
      <c r="C10" s="15">
        <v>0.02</v>
      </c>
      <c r="D10" s="18">
        <f>LOG10(C10)</f>
        <v>-1.6989700043360187</v>
      </c>
      <c r="E10" s="95"/>
      <c r="F10" s="18"/>
      <c r="G10" s="18"/>
      <c r="H10" s="15"/>
      <c r="I10" s="23"/>
      <c r="J10" s="23"/>
      <c r="K10" s="23"/>
      <c r="L10" s="15">
        <v>1</v>
      </c>
      <c r="M10" s="15" t="s">
        <v>136</v>
      </c>
      <c r="N10" s="15">
        <v>0.1</v>
      </c>
      <c r="O10" s="18">
        <f>LOG10(N10)</f>
        <v>-0.9999999999999999</v>
      </c>
      <c r="P10" s="22"/>
      <c r="Q10" s="18"/>
      <c r="R10" s="18"/>
      <c r="S10" s="15"/>
      <c r="T10" s="23"/>
    </row>
    <row r="11" spans="1:20" ht="12.75">
      <c r="A11" s="15">
        <v>3</v>
      </c>
      <c r="B11" s="15" t="s">
        <v>136</v>
      </c>
      <c r="C11" s="15">
        <v>0.08</v>
      </c>
      <c r="D11" s="18">
        <f>LOG10(C11)</f>
        <v>-1.0969100130080565</v>
      </c>
      <c r="E11" s="95"/>
      <c r="F11" s="18"/>
      <c r="G11" s="18"/>
      <c r="H11" s="15"/>
      <c r="I11" s="23"/>
      <c r="J11" s="23"/>
      <c r="K11" s="23"/>
      <c r="L11" s="15">
        <v>3</v>
      </c>
      <c r="M11" s="15" t="s">
        <v>136</v>
      </c>
      <c r="N11" s="15">
        <v>0.14</v>
      </c>
      <c r="O11" s="18">
        <f>LOG10(N11)</f>
        <v>-0.8538719643217619</v>
      </c>
      <c r="P11" s="22"/>
      <c r="Q11" s="18"/>
      <c r="R11" s="18"/>
      <c r="S11" s="15"/>
      <c r="T11" s="23"/>
    </row>
    <row r="12" spans="1:20" ht="12.75">
      <c r="A12" s="15">
        <v>5</v>
      </c>
      <c r="B12" s="15" t="s">
        <v>136</v>
      </c>
      <c r="C12" s="15">
        <v>0.01</v>
      </c>
      <c r="D12" s="18">
        <f>LOG10(C12)</f>
        <v>-2</v>
      </c>
      <c r="E12" s="95"/>
      <c r="F12" s="18"/>
      <c r="G12" s="18"/>
      <c r="H12" s="15"/>
      <c r="I12" s="23"/>
      <c r="J12" s="23"/>
      <c r="K12" s="23"/>
      <c r="L12" s="15">
        <v>5</v>
      </c>
      <c r="M12" s="15" t="s">
        <v>136</v>
      </c>
      <c r="N12" s="15">
        <v>0.03</v>
      </c>
      <c r="O12" s="18">
        <f>LOG10(N12)</f>
        <v>-1.5228787452803376</v>
      </c>
      <c r="P12" s="22"/>
      <c r="Q12" s="18"/>
      <c r="R12" s="18"/>
      <c r="S12" s="15"/>
      <c r="T12" s="23"/>
    </row>
    <row r="13" spans="1:21" ht="12.75">
      <c r="A13" s="15">
        <v>6</v>
      </c>
      <c r="B13" s="15" t="s">
        <v>136</v>
      </c>
      <c r="C13" s="15">
        <v>0.04</v>
      </c>
      <c r="D13" s="18">
        <f>LOG10(C13)</f>
        <v>-1.3979400086720375</v>
      </c>
      <c r="E13" s="95">
        <f>STDEV(D10:D13)</f>
        <v>0.3886280533051637</v>
      </c>
      <c r="F13" s="18">
        <f>AVERAGE(C10:C13)</f>
        <v>0.0375</v>
      </c>
      <c r="G13" s="18">
        <f>STDEV(C10:C13)</f>
        <v>0.03095695936834452</v>
      </c>
      <c r="H13" s="18">
        <f>EXP(SQRT(LN(POWER(G13,2)/POWER(F13,2)+1)))</f>
        <v>2.0562522684220115</v>
      </c>
      <c r="I13" s="21">
        <f>LOG10(H13)</f>
        <v>0.31307639440049023</v>
      </c>
      <c r="J13" s="88">
        <f>E13/I13</f>
        <v>1.2413202025318686</v>
      </c>
      <c r="K13" s="21"/>
      <c r="L13" s="15">
        <v>6</v>
      </c>
      <c r="M13" s="15" t="s">
        <v>136</v>
      </c>
      <c r="N13" s="15">
        <v>0.07</v>
      </c>
      <c r="O13" s="18">
        <f>LOG10(N13)</f>
        <v>-1.154901959985743</v>
      </c>
      <c r="P13" s="20">
        <f>STDEV(O10:O13)</f>
        <v>0.28756828870987383</v>
      </c>
      <c r="Q13" s="18">
        <f>AVERAGE(N10:N13)</f>
        <v>0.085</v>
      </c>
      <c r="R13" s="18">
        <f>STDEV(N10:N13)</f>
        <v>0.04654746681256315</v>
      </c>
      <c r="S13" s="18">
        <f>EXP(SQRT(LN(POWER(R13,2)/POWER(Q13,2)+1)))</f>
        <v>1.6688394391840584</v>
      </c>
      <c r="T13" s="21">
        <f>LOG10(S13)</f>
        <v>0.22241455475552172</v>
      </c>
      <c r="U13" s="88">
        <f>P13/T13</f>
        <v>1.2929382657801742</v>
      </c>
    </row>
    <row r="14" spans="1:20" ht="15">
      <c r="A14" s="15"/>
      <c r="B14" s="15"/>
      <c r="C14" s="17" t="s">
        <v>326</v>
      </c>
      <c r="D14" s="15"/>
      <c r="E14" s="95"/>
      <c r="F14" s="18"/>
      <c r="G14" s="18"/>
      <c r="H14" s="15"/>
      <c r="I14" s="23"/>
      <c r="J14" s="23"/>
      <c r="K14" s="23"/>
      <c r="L14" s="26" t="s">
        <v>127</v>
      </c>
      <c r="M14" t="s">
        <v>214</v>
      </c>
      <c r="N14" s="16" t="s">
        <v>454</v>
      </c>
      <c r="O14" t="s">
        <v>340</v>
      </c>
      <c r="P14" t="s">
        <v>341</v>
      </c>
      <c r="Q14" t="s">
        <v>598</v>
      </c>
      <c r="R14" t="s">
        <v>170</v>
      </c>
      <c r="S14" t="s">
        <v>126</v>
      </c>
      <c r="T14" s="14" t="s">
        <v>384</v>
      </c>
    </row>
    <row r="15" spans="1:20" ht="12.75">
      <c r="A15" s="15">
        <v>1</v>
      </c>
      <c r="B15" s="15" t="s">
        <v>136</v>
      </c>
      <c r="C15" s="15">
        <v>0.04</v>
      </c>
      <c r="D15" s="18">
        <f>LOG10(C15)</f>
        <v>-1.3979400086720375</v>
      </c>
      <c r="E15" s="95"/>
      <c r="F15" s="18"/>
      <c r="G15" s="18"/>
      <c r="H15" s="15"/>
      <c r="I15" s="23"/>
      <c r="J15" s="23"/>
      <c r="K15" s="23"/>
      <c r="L15"/>
      <c r="M15"/>
      <c r="N15" s="17" t="s">
        <v>137</v>
      </c>
      <c r="O15"/>
      <c r="P15"/>
      <c r="Q15"/>
      <c r="R15"/>
      <c r="S15"/>
      <c r="T15"/>
    </row>
    <row r="16" spans="1:20" ht="12.75">
      <c r="A16" s="15">
        <v>3</v>
      </c>
      <c r="B16" s="15" t="s">
        <v>136</v>
      </c>
      <c r="C16" s="15">
        <v>0.06</v>
      </c>
      <c r="D16" s="18">
        <f>LOG10(C16)</f>
        <v>-1.2218487496163564</v>
      </c>
      <c r="E16" s="95"/>
      <c r="F16" s="18"/>
      <c r="G16" s="18"/>
      <c r="H16" s="15"/>
      <c r="I16" s="23"/>
      <c r="J16" s="23"/>
      <c r="K16" s="23"/>
      <c r="L16">
        <v>1</v>
      </c>
      <c r="M16" t="s">
        <v>328</v>
      </c>
      <c r="N16" s="15">
        <v>0.21</v>
      </c>
      <c r="O16" s="3">
        <f>LOG10(N16)</f>
        <v>-0.6777807052660807</v>
      </c>
      <c r="P16"/>
      <c r="Q16"/>
      <c r="R16"/>
      <c r="S16"/>
      <c r="T16"/>
    </row>
    <row r="17" spans="1:20" ht="12.75">
      <c r="A17" s="15">
        <v>5</v>
      </c>
      <c r="B17" s="15" t="s">
        <v>136</v>
      </c>
      <c r="C17" s="15">
        <v>0.01</v>
      </c>
      <c r="D17" s="18">
        <f>LOG10(C17)</f>
        <v>-2</v>
      </c>
      <c r="E17" s="95"/>
      <c r="F17" s="18"/>
      <c r="G17" s="18"/>
      <c r="H17" s="15"/>
      <c r="I17" s="23"/>
      <c r="J17" s="23"/>
      <c r="K17" s="23"/>
      <c r="L17">
        <v>3</v>
      </c>
      <c r="M17" t="s">
        <v>328</v>
      </c>
      <c r="N17" s="15">
        <v>0.14</v>
      </c>
      <c r="O17" s="3">
        <f>LOG10(N17)</f>
        <v>-0.8538719643217619</v>
      </c>
      <c r="P17"/>
      <c r="Q17"/>
      <c r="R17"/>
      <c r="S17"/>
      <c r="T17"/>
    </row>
    <row r="18" spans="1:20" ht="12.75">
      <c r="A18" s="15">
        <v>6</v>
      </c>
      <c r="B18" s="15" t="s">
        <v>136</v>
      </c>
      <c r="C18" s="15">
        <v>0.04</v>
      </c>
      <c r="D18" s="18">
        <f>LOG10(C18)</f>
        <v>-1.3979400086720375</v>
      </c>
      <c r="E18" s="95">
        <f>STDEV(D15:D18)</f>
        <v>0.3406474347744449</v>
      </c>
      <c r="F18" s="18">
        <f>AVERAGE(C15:C18)</f>
        <v>0.0375</v>
      </c>
      <c r="G18" s="18">
        <f>STDEV(C15:C18)</f>
        <v>0.020615528128088305</v>
      </c>
      <c r="H18" s="18">
        <f>EXP(SQRT(LN(POWER(G18,2)/POWER(F18,2)+1)))</f>
        <v>1.671764347939424</v>
      </c>
      <c r="I18" s="21">
        <f>LOG10(H18)</f>
        <v>0.22317505922601502</v>
      </c>
      <c r="J18" s="88">
        <f>E18/I18</f>
        <v>1.5263687436930964</v>
      </c>
      <c r="K18" s="21"/>
      <c r="L18">
        <v>5</v>
      </c>
      <c r="M18" t="s">
        <v>328</v>
      </c>
      <c r="N18" s="15">
        <v>0.05</v>
      </c>
      <c r="O18" s="3">
        <f>LOG10(N18)</f>
        <v>-1.301029995663981</v>
      </c>
      <c r="P18"/>
      <c r="Q18"/>
      <c r="R18"/>
      <c r="S18"/>
      <c r="T18" s="12"/>
    </row>
    <row r="19" spans="1:21" ht="12.75">
      <c r="A19" s="15"/>
      <c r="B19" s="15"/>
      <c r="C19" s="17" t="s">
        <v>327</v>
      </c>
      <c r="D19" s="15"/>
      <c r="E19" s="95"/>
      <c r="F19" s="18"/>
      <c r="G19" s="18"/>
      <c r="H19" s="15"/>
      <c r="I19" s="23"/>
      <c r="J19" s="23"/>
      <c r="K19" s="23"/>
      <c r="L19">
        <v>6</v>
      </c>
      <c r="M19" t="s">
        <v>328</v>
      </c>
      <c r="N19" s="15">
        <v>0.08</v>
      </c>
      <c r="O19" s="3">
        <f>LOG10(N19)</f>
        <v>-1.0969100130080565</v>
      </c>
      <c r="P19" s="6">
        <f>STDEV(O16:O19)</f>
        <v>0.2732215144542548</v>
      </c>
      <c r="Q19" s="3">
        <f>AVERAGE(N16:N19)</f>
        <v>0.12</v>
      </c>
      <c r="R19" s="3">
        <f>STDEV(N16:N19)</f>
        <v>0.07071067811865475</v>
      </c>
      <c r="S19" s="3">
        <f>EXP(SQRT(LN(POWER(R19,2)/POWER(Q19,2)+1)))</f>
        <v>1.7262213848503123</v>
      </c>
      <c r="T19" s="13">
        <f>LOG10(S19)</f>
        <v>0.23709649245295233</v>
      </c>
      <c r="U19" s="88">
        <f>P19/T19</f>
        <v>1.152364219426278</v>
      </c>
    </row>
    <row r="20" spans="1:20" ht="12.75">
      <c r="A20" s="15">
        <v>1</v>
      </c>
      <c r="B20" s="15" t="s">
        <v>136</v>
      </c>
      <c r="C20" s="15">
        <v>0.04</v>
      </c>
      <c r="D20" s="18">
        <f>LOG10(C20)</f>
        <v>-1.3979400086720375</v>
      </c>
      <c r="E20" s="95"/>
      <c r="F20" s="18"/>
      <c r="G20" s="18"/>
      <c r="H20" s="15"/>
      <c r="I20" s="23"/>
      <c r="J20" s="23"/>
      <c r="K20" s="23"/>
      <c r="L20"/>
      <c r="M20"/>
      <c r="N20" s="17" t="s">
        <v>493</v>
      </c>
      <c r="O20"/>
      <c r="P20" s="1"/>
      <c r="Q20" s="3"/>
      <c r="R20" s="3"/>
      <c r="S20"/>
      <c r="T20" s="14"/>
    </row>
    <row r="21" spans="1:20" ht="12.75">
      <c r="A21" s="15">
        <v>3</v>
      </c>
      <c r="B21" s="15" t="s">
        <v>136</v>
      </c>
      <c r="C21" s="15">
        <v>0.05</v>
      </c>
      <c r="D21" s="18">
        <f>LOG10(C21)</f>
        <v>-1.301029995663981</v>
      </c>
      <c r="E21" s="95"/>
      <c r="F21" s="18"/>
      <c r="G21" s="18"/>
      <c r="H21" s="15"/>
      <c r="I21" s="23"/>
      <c r="J21" s="23"/>
      <c r="K21" s="23"/>
      <c r="L21">
        <v>1</v>
      </c>
      <c r="M21" t="s">
        <v>328</v>
      </c>
      <c r="N21" s="15">
        <v>0.51</v>
      </c>
      <c r="O21" s="3">
        <f>LOG10(N21)</f>
        <v>-0.2924298239020636</v>
      </c>
      <c r="P21" s="1"/>
      <c r="Q21" s="3"/>
      <c r="R21" s="3"/>
      <c r="S21"/>
      <c r="T21" s="14"/>
    </row>
    <row r="22" spans="1:20" ht="12.75">
      <c r="A22" s="15">
        <v>5</v>
      </c>
      <c r="B22" s="15" t="s">
        <v>136</v>
      </c>
      <c r="C22" s="15">
        <v>0.01</v>
      </c>
      <c r="D22" s="18">
        <f>LOG10(C22)</f>
        <v>-2</v>
      </c>
      <c r="E22" s="95"/>
      <c r="F22" s="18"/>
      <c r="G22" s="18"/>
      <c r="H22" s="15"/>
      <c r="I22" s="23"/>
      <c r="J22" s="23"/>
      <c r="K22" s="23"/>
      <c r="L22">
        <v>3</v>
      </c>
      <c r="M22" t="s">
        <v>328</v>
      </c>
      <c r="N22" s="15">
        <v>0.35</v>
      </c>
      <c r="O22" s="3">
        <f>LOG10(N22)</f>
        <v>-0.45593195564972444</v>
      </c>
      <c r="P22" s="1"/>
      <c r="Q22" s="3"/>
      <c r="R22" s="3"/>
      <c r="S22"/>
      <c r="T22" s="14"/>
    </row>
    <row r="23" spans="1:20" ht="12.75">
      <c r="A23" s="15">
        <v>6</v>
      </c>
      <c r="B23" s="15" t="s">
        <v>136</v>
      </c>
      <c r="C23" s="15">
        <v>0.03</v>
      </c>
      <c r="D23" s="18">
        <f>LOG10(C23)</f>
        <v>-1.5228787452803376</v>
      </c>
      <c r="E23" s="95">
        <f>STDEV(D20:D23)</f>
        <v>0.3099594191257714</v>
      </c>
      <c r="F23" s="18">
        <f>AVERAGE(C20:C23)</f>
        <v>0.0325</v>
      </c>
      <c r="G23" s="18">
        <f>STDEV(C20:C23)</f>
        <v>0.01707825127659933</v>
      </c>
      <c r="H23" s="18">
        <f>EXP(SQRT(LN(POWER(G23,2)/POWER(F23,2)+1)))</f>
        <v>1.638525597180683</v>
      </c>
      <c r="I23" s="21">
        <f>LOG10(H23)</f>
        <v>0.21445323035525107</v>
      </c>
      <c r="J23" s="88">
        <f>E23/I23</f>
        <v>1.4453474009802052</v>
      </c>
      <c r="K23" s="21"/>
      <c r="L23">
        <v>5</v>
      </c>
      <c r="M23" t="s">
        <v>328</v>
      </c>
      <c r="N23" s="15">
        <v>0.15</v>
      </c>
      <c r="O23" s="3">
        <f>LOG10(N23)</f>
        <v>-0.8239087409443188</v>
      </c>
      <c r="P23" s="1"/>
      <c r="Q23" s="3"/>
      <c r="R23" s="3"/>
      <c r="S23"/>
      <c r="T23" s="14"/>
    </row>
    <row r="24" spans="1:21" ht="12.75">
      <c r="A24"/>
      <c r="B24"/>
      <c r="C24" s="4"/>
      <c r="D24"/>
      <c r="E24" s="1"/>
      <c r="F24" s="3"/>
      <c r="G24" s="3"/>
      <c r="H24"/>
      <c r="I24" s="14"/>
      <c r="J24" s="14"/>
      <c r="K24" s="14"/>
      <c r="L24">
        <v>6</v>
      </c>
      <c r="M24" t="s">
        <v>328</v>
      </c>
      <c r="N24" s="15">
        <v>0.26</v>
      </c>
      <c r="O24" s="3">
        <f>LOG10(N24)</f>
        <v>-0.585026652029182</v>
      </c>
      <c r="P24" s="6">
        <f>STDEV(O21:O24)</f>
        <v>0.22434213041134204</v>
      </c>
      <c r="Q24" s="3">
        <f>AVERAGE(N21:N24)</f>
        <v>0.3175</v>
      </c>
      <c r="R24" s="3">
        <f>STDEV(N21:N24)</f>
        <v>0.15217862311551297</v>
      </c>
      <c r="S24" s="3">
        <f>EXP(SQRT(LN(POWER(R24,2)/POWER(Q24,2)+1)))</f>
        <v>1.575775900121998</v>
      </c>
      <c r="T24" s="13">
        <f>LOG10(S24)</f>
        <v>0.19749445410488606</v>
      </c>
      <c r="U24" s="88">
        <f>P24/T24</f>
        <v>1.1359414188521852</v>
      </c>
    </row>
    <row r="25" spans="1:20" ht="15">
      <c r="A25" s="26" t="s">
        <v>127</v>
      </c>
      <c r="B25" t="s">
        <v>214</v>
      </c>
      <c r="C25" s="11" t="s">
        <v>137</v>
      </c>
      <c r="D25" t="s">
        <v>340</v>
      </c>
      <c r="E25" t="s">
        <v>341</v>
      </c>
      <c r="F25" t="s">
        <v>598</v>
      </c>
      <c r="G25" t="s">
        <v>170</v>
      </c>
      <c r="H25" t="s">
        <v>126</v>
      </c>
      <c r="I25" s="14" t="s">
        <v>384</v>
      </c>
      <c r="J25" s="14"/>
      <c r="K25" s="14"/>
      <c r="L25" s="26" t="s">
        <v>127</v>
      </c>
      <c r="M25" s="24" t="s">
        <v>214</v>
      </c>
      <c r="N25" s="16" t="s">
        <v>454</v>
      </c>
      <c r="O25" s="25" t="s">
        <v>340</v>
      </c>
      <c r="P25" s="25" t="s">
        <v>341</v>
      </c>
      <c r="Q25" s="25" t="s">
        <v>598</v>
      </c>
      <c r="R25" s="25" t="s">
        <v>170</v>
      </c>
      <c r="S25" s="25" t="s">
        <v>126</v>
      </c>
      <c r="T25" s="14" t="s">
        <v>384</v>
      </c>
    </row>
    <row r="26" spans="1:20" ht="12.75">
      <c r="A26"/>
      <c r="B26"/>
      <c r="C26" s="4" t="s">
        <v>138</v>
      </c>
      <c r="D26"/>
      <c r="E26"/>
      <c r="F26"/>
      <c r="G26"/>
      <c r="H26"/>
      <c r="I26"/>
      <c r="J26"/>
      <c r="K26"/>
      <c r="L26"/>
      <c r="M26"/>
      <c r="N26" s="17" t="s">
        <v>137</v>
      </c>
      <c r="O26"/>
      <c r="P26"/>
      <c r="Q26"/>
      <c r="R26"/>
      <c r="S26"/>
      <c r="T26"/>
    </row>
    <row r="27" spans="1:20" ht="12.75">
      <c r="A27">
        <v>1</v>
      </c>
      <c r="B27" t="s">
        <v>328</v>
      </c>
      <c r="C27">
        <v>0.23</v>
      </c>
      <c r="D27" s="3">
        <f>LOG10(C27)</f>
        <v>-0.6382721639824072</v>
      </c>
      <c r="E27"/>
      <c r="F27"/>
      <c r="G27"/>
      <c r="H27"/>
      <c r="I27"/>
      <c r="J27"/>
      <c r="K27"/>
      <c r="L27">
        <v>1</v>
      </c>
      <c r="M27" t="s">
        <v>452</v>
      </c>
      <c r="N27" s="15">
        <v>0.53</v>
      </c>
      <c r="O27" s="3">
        <f>LOG10(N27)</f>
        <v>-0.27572413039921095</v>
      </c>
      <c r="P27"/>
      <c r="Q27"/>
      <c r="R27"/>
      <c r="S27"/>
      <c r="T27"/>
    </row>
    <row r="28" spans="1:20" ht="12.75">
      <c r="A28">
        <v>3</v>
      </c>
      <c r="B28" t="s">
        <v>328</v>
      </c>
      <c r="C28">
        <v>0.16</v>
      </c>
      <c r="D28" s="3">
        <f>LOG10(C28)</f>
        <v>-0.7958800173440752</v>
      </c>
      <c r="E28"/>
      <c r="F28"/>
      <c r="G28"/>
      <c r="H28"/>
      <c r="I28"/>
      <c r="J28"/>
      <c r="K28"/>
      <c r="L28">
        <v>3</v>
      </c>
      <c r="M28" t="s">
        <v>452</v>
      </c>
      <c r="N28" s="15">
        <v>0.33</v>
      </c>
      <c r="O28" s="3">
        <f>LOG10(N28)</f>
        <v>-0.48148606012211254</v>
      </c>
      <c r="P28"/>
      <c r="Q28"/>
      <c r="R28"/>
      <c r="S28"/>
      <c r="T28"/>
    </row>
    <row r="29" spans="1:20" ht="12.75">
      <c r="A29">
        <v>5</v>
      </c>
      <c r="B29" t="s">
        <v>328</v>
      </c>
      <c r="C29">
        <v>0.05</v>
      </c>
      <c r="D29" s="3">
        <f>LOG10(C29)</f>
        <v>-1.301029995663981</v>
      </c>
      <c r="E29"/>
      <c r="F29"/>
      <c r="G29"/>
      <c r="H29"/>
      <c r="I29" s="12"/>
      <c r="J29" s="12"/>
      <c r="K29" s="12"/>
      <c r="L29">
        <v>5</v>
      </c>
      <c r="M29" t="s">
        <v>452</v>
      </c>
      <c r="N29" s="15">
        <v>0.24</v>
      </c>
      <c r="O29" s="3">
        <f>LOG10(N29)</f>
        <v>-0.619788758288394</v>
      </c>
      <c r="P29"/>
      <c r="Q29"/>
      <c r="R29"/>
      <c r="S29"/>
      <c r="T29" s="12"/>
    </row>
    <row r="30" spans="1:21" ht="12.75">
      <c r="A30">
        <v>6</v>
      </c>
      <c r="B30" t="s">
        <v>328</v>
      </c>
      <c r="C30">
        <v>0.09</v>
      </c>
      <c r="D30" s="3">
        <f>LOG10(C30)</f>
        <v>-1.045757490560675</v>
      </c>
      <c r="E30" s="94">
        <f>STDEV(D27:D30)</f>
        <v>0.29053281145058374</v>
      </c>
      <c r="F30" s="3">
        <f>AVERAGE(C27:C30)</f>
        <v>0.1325</v>
      </c>
      <c r="G30" s="3">
        <f>STDEV(C27:C30)</f>
        <v>0.07932002689527194</v>
      </c>
      <c r="H30" s="3">
        <f>EXP(SQRT(LN(POWER(G30,2)/POWER(F30,2)+1)))</f>
        <v>1.7392115597032363</v>
      </c>
      <c r="I30" s="13">
        <f>LOG10(H30)</f>
        <v>0.24035241329847745</v>
      </c>
      <c r="J30" s="88">
        <f>E30/I30</f>
        <v>1.2087784244121178</v>
      </c>
      <c r="K30" s="13"/>
      <c r="L30">
        <v>6</v>
      </c>
      <c r="M30" t="s">
        <v>452</v>
      </c>
      <c r="N30" s="15">
        <v>0.31</v>
      </c>
      <c r="O30" s="3">
        <f>LOG10(N30)</f>
        <v>-0.5086383061657272</v>
      </c>
      <c r="P30" s="6">
        <f>STDEV(O27:O30)</f>
        <v>0.14352315636427504</v>
      </c>
      <c r="Q30" s="3">
        <f>AVERAGE(N27:N30)</f>
        <v>0.35250000000000004</v>
      </c>
      <c r="R30" s="3">
        <f>STDEV(N27:N30)</f>
        <v>0.1244655240083238</v>
      </c>
      <c r="S30" s="3">
        <f>EXP(SQRT(LN(POWER(R30,2)/POWER(Q30,2)+1)))</f>
        <v>1.4088507855982604</v>
      </c>
      <c r="T30" s="13">
        <f>LOG10(S30)</f>
        <v>0.14886499848700963</v>
      </c>
      <c r="U30" s="88">
        <f>P30/T30</f>
        <v>0.9641161980517486</v>
      </c>
    </row>
    <row r="31" spans="1:20" ht="12.75">
      <c r="A31"/>
      <c r="B31"/>
      <c r="C31" s="4" t="s">
        <v>325</v>
      </c>
      <c r="D31"/>
      <c r="E31" s="1"/>
      <c r="F31" s="3"/>
      <c r="G31" s="3"/>
      <c r="H31"/>
      <c r="I31" s="14"/>
      <c r="J31" s="14"/>
      <c r="K31" s="14"/>
      <c r="L31"/>
      <c r="M31"/>
      <c r="N31" s="17" t="s">
        <v>493</v>
      </c>
      <c r="O31"/>
      <c r="P31" s="1"/>
      <c r="Q31" s="3"/>
      <c r="R31" s="3"/>
      <c r="S31"/>
      <c r="T31" s="14"/>
    </row>
    <row r="32" spans="1:20" ht="12.75">
      <c r="A32">
        <v>1</v>
      </c>
      <c r="B32" t="s">
        <v>328</v>
      </c>
      <c r="C32">
        <v>0.21</v>
      </c>
      <c r="D32" s="3">
        <f>LOG10(C32)</f>
        <v>-0.6777807052660807</v>
      </c>
      <c r="E32" s="1"/>
      <c r="F32" s="3"/>
      <c r="G32" s="3"/>
      <c r="H32"/>
      <c r="I32" s="14"/>
      <c r="J32" s="14"/>
      <c r="K32" s="14"/>
      <c r="L32">
        <v>1</v>
      </c>
      <c r="M32" t="s">
        <v>452</v>
      </c>
      <c r="N32" s="15">
        <v>0.8</v>
      </c>
      <c r="O32" s="3">
        <f>LOG10(N32)</f>
        <v>-0.09691001300805638</v>
      </c>
      <c r="P32" s="1"/>
      <c r="Q32" s="3"/>
      <c r="R32" s="3"/>
      <c r="S32"/>
      <c r="T32" s="14"/>
    </row>
    <row r="33" spans="1:20" ht="12.75">
      <c r="A33">
        <v>3</v>
      </c>
      <c r="B33" t="s">
        <v>328</v>
      </c>
      <c r="C33">
        <v>0.14</v>
      </c>
      <c r="D33" s="3">
        <f>LOG10(C33)</f>
        <v>-0.8538719643217619</v>
      </c>
      <c r="E33" s="1"/>
      <c r="F33" s="3"/>
      <c r="G33" s="3"/>
      <c r="H33"/>
      <c r="I33" s="14"/>
      <c r="J33" s="14"/>
      <c r="K33" s="14"/>
      <c r="L33">
        <v>3</v>
      </c>
      <c r="M33" t="s">
        <v>452</v>
      </c>
      <c r="N33" s="15">
        <v>0.59</v>
      </c>
      <c r="O33" s="3">
        <f>LOG10(N33)</f>
        <v>-0.22914798835785583</v>
      </c>
      <c r="P33" s="1"/>
      <c r="Q33" s="3"/>
      <c r="R33" s="3"/>
      <c r="S33"/>
      <c r="T33" s="14"/>
    </row>
    <row r="34" spans="1:20" ht="12.75">
      <c r="A34">
        <v>5</v>
      </c>
      <c r="B34" t="s">
        <v>328</v>
      </c>
      <c r="C34">
        <v>0.05</v>
      </c>
      <c r="D34" s="3">
        <f>LOG10(C34)</f>
        <v>-1.301029995663981</v>
      </c>
      <c r="E34" s="1"/>
      <c r="F34" s="3"/>
      <c r="G34" s="3"/>
      <c r="H34"/>
      <c r="I34" s="14"/>
      <c r="J34" s="14"/>
      <c r="K34" s="14"/>
      <c r="L34">
        <v>5</v>
      </c>
      <c r="M34" t="s">
        <v>452</v>
      </c>
      <c r="N34" s="15">
        <v>0.51</v>
      </c>
      <c r="O34" s="3">
        <f>LOG10(N34)</f>
        <v>-0.2924298239020636</v>
      </c>
      <c r="P34" s="1"/>
      <c r="Q34" s="3"/>
      <c r="R34" s="3"/>
      <c r="S34"/>
      <c r="T34" s="14"/>
    </row>
    <row r="35" spans="1:21" ht="12.75">
      <c r="A35">
        <v>6</v>
      </c>
      <c r="B35" t="s">
        <v>328</v>
      </c>
      <c r="C35">
        <v>0.08</v>
      </c>
      <c r="D35" s="3">
        <f>LOG10(C35)</f>
        <v>-1.0969100130080565</v>
      </c>
      <c r="E35" s="6">
        <f>STDEV(D32:D35)</f>
        <v>0.2732215144542548</v>
      </c>
      <c r="F35" s="3">
        <f>AVERAGE(C32:C35)</f>
        <v>0.12</v>
      </c>
      <c r="G35" s="3">
        <f>STDEV(C32:C35)</f>
        <v>0.07071067811865475</v>
      </c>
      <c r="H35" s="3">
        <f>EXP(SQRT(LN(POWER(G35,2)/POWER(F35,2)+1)))</f>
        <v>1.7262213848503123</v>
      </c>
      <c r="I35" s="13">
        <f>LOG10(H35)</f>
        <v>0.23709649245295233</v>
      </c>
      <c r="J35" s="88">
        <f>E35/I35</f>
        <v>1.152364219426278</v>
      </c>
      <c r="K35" s="13"/>
      <c r="L35">
        <v>6</v>
      </c>
      <c r="M35" t="s">
        <v>452</v>
      </c>
      <c r="N35" s="15">
        <v>0.62</v>
      </c>
      <c r="O35" s="3">
        <f>LOG10(N35)</f>
        <v>-0.2076083105017461</v>
      </c>
      <c r="P35" s="6">
        <f>STDEV(O32:O35)</f>
        <v>0.08146176465687921</v>
      </c>
      <c r="Q35" s="3">
        <f>AVERAGE(N32:N35)</f>
        <v>0.63</v>
      </c>
      <c r="R35" s="3">
        <f>STDEV(N32:N35)</f>
        <v>0.12247448713915912</v>
      </c>
      <c r="S35" s="3">
        <f>EXP(SQRT(LN(POWER(R35,2)/POWER(Q35,2)+1)))</f>
        <v>1.2124024008105754</v>
      </c>
      <c r="T35" s="13">
        <f>LOG10(S35)</f>
        <v>0.08364678769043177</v>
      </c>
      <c r="U35" s="88">
        <f>P35/T35</f>
        <v>0.9738779803279582</v>
      </c>
    </row>
    <row r="36" spans="1:20" ht="15">
      <c r="A36"/>
      <c r="B36"/>
      <c r="C36" s="4" t="s">
        <v>326</v>
      </c>
      <c r="D36"/>
      <c r="E36" s="1"/>
      <c r="F36" s="3"/>
      <c r="G36" s="3"/>
      <c r="H36"/>
      <c r="I36" s="14"/>
      <c r="J36" s="14"/>
      <c r="K36" s="14"/>
      <c r="L36" s="26" t="s">
        <v>127</v>
      </c>
      <c r="M36" s="24" t="s">
        <v>214</v>
      </c>
      <c r="N36" s="16" t="s">
        <v>454</v>
      </c>
      <c r="O36" s="25" t="s">
        <v>340</v>
      </c>
      <c r="P36" s="25" t="s">
        <v>341</v>
      </c>
      <c r="Q36" s="25" t="s">
        <v>598</v>
      </c>
      <c r="R36" s="25" t="s">
        <v>170</v>
      </c>
      <c r="S36" s="25" t="s">
        <v>126</v>
      </c>
      <c r="T36" s="14" t="s">
        <v>384</v>
      </c>
    </row>
    <row r="37" spans="1:20" ht="12.75">
      <c r="A37">
        <v>1</v>
      </c>
      <c r="B37" t="s">
        <v>328</v>
      </c>
      <c r="C37">
        <v>0.19</v>
      </c>
      <c r="D37" s="3">
        <f>LOG10(C37)</f>
        <v>-0.721246399047171</v>
      </c>
      <c r="E37" s="1"/>
      <c r="F37" s="3"/>
      <c r="G37" s="3"/>
      <c r="H37"/>
      <c r="I37" s="14"/>
      <c r="J37" s="14"/>
      <c r="K37" s="14"/>
      <c r="L37"/>
      <c r="M37"/>
      <c r="N37" s="17" t="s">
        <v>137</v>
      </c>
      <c r="O37"/>
      <c r="P37"/>
      <c r="Q37"/>
      <c r="R37"/>
      <c r="S37"/>
      <c r="T37"/>
    </row>
    <row r="38" spans="1:20" ht="12.75">
      <c r="A38">
        <v>3</v>
      </c>
      <c r="B38" t="s">
        <v>328</v>
      </c>
      <c r="C38">
        <v>0.14</v>
      </c>
      <c r="D38" s="3">
        <f>LOG10(C38)</f>
        <v>-0.8538719643217619</v>
      </c>
      <c r="E38" s="1"/>
      <c r="F38" s="3"/>
      <c r="G38" s="3"/>
      <c r="H38"/>
      <c r="I38" s="14"/>
      <c r="J38" s="14"/>
      <c r="K38" s="14"/>
      <c r="L38">
        <v>1</v>
      </c>
      <c r="M38" t="s">
        <v>453</v>
      </c>
      <c r="N38" s="15">
        <v>0.62</v>
      </c>
      <c r="O38" s="3">
        <f>LOG10(N38)</f>
        <v>-0.2076083105017461</v>
      </c>
      <c r="P38"/>
      <c r="Q38"/>
      <c r="R38"/>
      <c r="S38"/>
      <c r="T38"/>
    </row>
    <row r="39" spans="1:20" ht="12.75">
      <c r="A39">
        <v>5</v>
      </c>
      <c r="B39" t="s">
        <v>328</v>
      </c>
      <c r="C39">
        <v>0.04</v>
      </c>
      <c r="D39" s="3">
        <f>LOG10(C39)</f>
        <v>-1.3979400086720375</v>
      </c>
      <c r="E39" s="1"/>
      <c r="F39" s="3"/>
      <c r="G39" s="3"/>
      <c r="H39"/>
      <c r="I39" s="14"/>
      <c r="J39" s="14"/>
      <c r="K39" s="14"/>
      <c r="L39">
        <v>3</v>
      </c>
      <c r="M39" t="s">
        <v>453</v>
      </c>
      <c r="N39" s="15">
        <v>0.44</v>
      </c>
      <c r="O39" s="3">
        <f>LOG10(N39)</f>
        <v>-0.3565473235138126</v>
      </c>
      <c r="P39"/>
      <c r="Q39"/>
      <c r="R39"/>
      <c r="S39"/>
      <c r="T39"/>
    </row>
    <row r="40" spans="1:20" ht="12.75">
      <c r="A40">
        <v>6</v>
      </c>
      <c r="B40" t="s">
        <v>328</v>
      </c>
      <c r="C40">
        <v>0.08</v>
      </c>
      <c r="D40" s="3">
        <f>LOG10(C40)</f>
        <v>-1.0969100130080565</v>
      </c>
      <c r="E40" s="6">
        <f>STDEV(D37:D40)</f>
        <v>0.29753480482787287</v>
      </c>
      <c r="F40" s="3">
        <f>AVERAGE(C37:C40)</f>
        <v>0.1125</v>
      </c>
      <c r="G40" s="3">
        <f>STDEV(C37:C40)</f>
        <v>0.06601767440112785</v>
      </c>
      <c r="H40" s="3">
        <f>EXP(SQRT(LN(POWER(G40,2)/POWER(F40,2)+1)))</f>
        <v>1.7228587532268143</v>
      </c>
      <c r="I40" s="13">
        <f>LOG10(H40)</f>
        <v>0.23624967372854455</v>
      </c>
      <c r="J40" s="88">
        <f>E40/I40</f>
        <v>1.2594083205792959</v>
      </c>
      <c r="K40" s="13"/>
      <c r="L40">
        <v>5</v>
      </c>
      <c r="M40" t="s">
        <v>453</v>
      </c>
      <c r="N40" s="15">
        <v>0.39</v>
      </c>
      <c r="O40" s="3">
        <f>LOG10(N40)</f>
        <v>-0.40893539297350073</v>
      </c>
      <c r="P40"/>
      <c r="Q40"/>
      <c r="R40"/>
      <c r="S40"/>
      <c r="T40" s="12"/>
    </row>
    <row r="41" spans="1:21" ht="12.75">
      <c r="A41"/>
      <c r="B41"/>
      <c r="C41" s="4" t="s">
        <v>327</v>
      </c>
      <c r="D41"/>
      <c r="E41" s="1"/>
      <c r="F41" s="3"/>
      <c r="G41" s="3"/>
      <c r="H41"/>
      <c r="I41" s="14"/>
      <c r="J41" s="14"/>
      <c r="K41" s="14"/>
      <c r="L41">
        <v>6</v>
      </c>
      <c r="M41" t="s">
        <v>453</v>
      </c>
      <c r="N41" s="15">
        <v>0.52</v>
      </c>
      <c r="O41" s="3">
        <f>LOG10(N41)</f>
        <v>-0.2839966563652008</v>
      </c>
      <c r="P41" s="6">
        <f>STDEV(O38:O41)</f>
        <v>0.08763960299052986</v>
      </c>
      <c r="Q41" s="3">
        <f>AVERAGE(N38:N41)</f>
        <v>0.49250000000000005</v>
      </c>
      <c r="R41" s="3">
        <f>STDEV(N38:N41)</f>
        <v>0.10045728777279749</v>
      </c>
      <c r="S41" s="3">
        <f>EXP(SQRT(LN(POWER(R41,2)/POWER(Q41,2)+1)))</f>
        <v>1.2237245188473584</v>
      </c>
      <c r="T41" s="13">
        <f>LOG10(S41)</f>
        <v>0.08768366175566907</v>
      </c>
      <c r="U41" s="88">
        <f>P41/T41</f>
        <v>0.9994975259443205</v>
      </c>
    </row>
    <row r="42" spans="1:20" ht="12.75">
      <c r="A42">
        <v>1</v>
      </c>
      <c r="B42" t="s">
        <v>328</v>
      </c>
      <c r="C42">
        <v>0.18</v>
      </c>
      <c r="D42" s="3">
        <f>LOG10(C42)</f>
        <v>-0.7447274948966939</v>
      </c>
      <c r="E42" s="1"/>
      <c r="F42" s="3"/>
      <c r="G42" s="3"/>
      <c r="H42"/>
      <c r="I42" s="14"/>
      <c r="J42" s="14"/>
      <c r="K42" s="14"/>
      <c r="L42"/>
      <c r="M42"/>
      <c r="N42" s="17" t="s">
        <v>493</v>
      </c>
      <c r="O42"/>
      <c r="P42" s="1"/>
      <c r="Q42" s="3"/>
      <c r="R42" s="3"/>
      <c r="S42"/>
      <c r="T42" s="14"/>
    </row>
    <row r="43" spans="1:20" ht="12.75">
      <c r="A43">
        <v>3</v>
      </c>
      <c r="B43" t="s">
        <v>328</v>
      </c>
      <c r="C43">
        <v>0.13</v>
      </c>
      <c r="D43" s="3">
        <f>LOG10(C43)</f>
        <v>-0.8860566476931632</v>
      </c>
      <c r="E43" s="1"/>
      <c r="F43" s="3"/>
      <c r="G43" s="3"/>
      <c r="H43"/>
      <c r="I43" s="14"/>
      <c r="J43" s="14"/>
      <c r="K43" s="14"/>
      <c r="L43">
        <v>1</v>
      </c>
      <c r="M43" t="s">
        <v>453</v>
      </c>
      <c r="N43" s="15">
        <v>0.81</v>
      </c>
      <c r="O43" s="3">
        <f>LOG10(N43)</f>
        <v>-0.09151498112135022</v>
      </c>
      <c r="P43" s="1"/>
      <c r="Q43" s="3"/>
      <c r="R43" s="3"/>
      <c r="S43"/>
      <c r="T43" s="14"/>
    </row>
    <row r="44" spans="1:20" ht="12.75">
      <c r="A44">
        <v>5</v>
      </c>
      <c r="B44" t="s">
        <v>328</v>
      </c>
      <c r="C44">
        <v>0.03</v>
      </c>
      <c r="D44" s="3">
        <f>LOG10(C44)</f>
        <v>-1.5228787452803376</v>
      </c>
      <c r="E44" s="1"/>
      <c r="F44" s="3"/>
      <c r="G44" s="3"/>
      <c r="H44"/>
      <c r="I44" s="14"/>
      <c r="J44" s="14"/>
      <c r="K44" s="14"/>
      <c r="L44">
        <v>3</v>
      </c>
      <c r="M44" t="s">
        <v>453</v>
      </c>
      <c r="N44" s="15">
        <v>0.58</v>
      </c>
      <c r="O44" s="3">
        <f>LOG10(N44)</f>
        <v>-0.23657200643706278</v>
      </c>
      <c r="P44" s="1"/>
      <c r="Q44" s="3"/>
      <c r="R44" s="3"/>
      <c r="S44"/>
      <c r="T44" s="14"/>
    </row>
    <row r="45" spans="1:20" ht="12.75">
      <c r="A45">
        <v>6</v>
      </c>
      <c r="B45" t="s">
        <v>328</v>
      </c>
      <c r="C45">
        <v>0.07</v>
      </c>
      <c r="D45" s="3">
        <f>LOG10(C45)</f>
        <v>-1.154901959985743</v>
      </c>
      <c r="E45" s="94">
        <f>STDEV(D42:D45)</f>
        <v>0.3424134306832957</v>
      </c>
      <c r="F45" s="3">
        <f>AVERAGE(C42:C45)</f>
        <v>0.1025</v>
      </c>
      <c r="G45" s="3">
        <f>STDEV(C42:C45)</f>
        <v>0.06601767440112788</v>
      </c>
      <c r="H45" s="3">
        <f>EXP(SQRT(LN(POWER(G45,2)/POWER(F45,2)+1)))</f>
        <v>1.8023231781528744</v>
      </c>
      <c r="I45" s="13">
        <f>LOG10(H45)</f>
        <v>0.2558326678328841</v>
      </c>
      <c r="J45" s="88">
        <f>E45/I45</f>
        <v>1.3384273149470036</v>
      </c>
      <c r="K45" s="13"/>
      <c r="L45">
        <v>5</v>
      </c>
      <c r="M45" t="s">
        <v>453</v>
      </c>
      <c r="N45" s="15">
        <v>0.65</v>
      </c>
      <c r="O45" s="3">
        <f>LOG10(N45)</f>
        <v>-0.1870866433571444</v>
      </c>
      <c r="P45" s="1"/>
      <c r="Q45" s="3"/>
      <c r="R45" s="3"/>
      <c r="S45"/>
      <c r="T45" s="14"/>
    </row>
    <row r="46" spans="12:21" ht="12.75">
      <c r="L46">
        <v>6</v>
      </c>
      <c r="M46" t="s">
        <v>453</v>
      </c>
      <c r="N46" s="15">
        <v>0.7</v>
      </c>
      <c r="O46" s="3">
        <f>LOG10(N46)</f>
        <v>-0.15490195998574316</v>
      </c>
      <c r="P46" s="6">
        <f>STDEV(O43:O46)</f>
        <v>0.06079202510454556</v>
      </c>
      <c r="Q46" s="3">
        <f>AVERAGE(N43:N46)</f>
        <v>0.685</v>
      </c>
      <c r="R46" s="3">
        <f>STDEV(N43:N46)</f>
        <v>0.09678154093971986</v>
      </c>
      <c r="S46" s="3">
        <f>EXP(SQRT(LN(POWER(R46,2)/POWER(Q46,2)+1)))</f>
        <v>1.1509519147800924</v>
      </c>
      <c r="T46" s="13">
        <f>LOG10(S46)</f>
        <v>0.06105717977062955</v>
      </c>
      <c r="U46" s="88">
        <f>P46/T46</f>
        <v>0.9956572729516809</v>
      </c>
    </row>
    <row r="47" spans="1:11" ht="15">
      <c r="A47" s="26" t="s">
        <v>127</v>
      </c>
      <c r="B47" s="24" t="s">
        <v>214</v>
      </c>
      <c r="C47" s="16" t="s">
        <v>137</v>
      </c>
      <c r="D47" s="25" t="s">
        <v>340</v>
      </c>
      <c r="E47" s="25" t="s">
        <v>341</v>
      </c>
      <c r="F47" s="25" t="s">
        <v>598</v>
      </c>
      <c r="G47" s="25" t="s">
        <v>170</v>
      </c>
      <c r="H47" s="25" t="s">
        <v>126</v>
      </c>
      <c r="I47" s="14" t="s">
        <v>384</v>
      </c>
      <c r="J47" s="14"/>
      <c r="K47" s="14"/>
    </row>
    <row r="48" spans="1:11" ht="12.75">
      <c r="A48"/>
      <c r="B48"/>
      <c r="C48" s="4" t="s">
        <v>138</v>
      </c>
      <c r="D48"/>
      <c r="E48"/>
      <c r="F48"/>
      <c r="G48"/>
      <c r="H48"/>
      <c r="I48"/>
      <c r="J48"/>
      <c r="K48"/>
    </row>
    <row r="49" spans="1:11" ht="12.75">
      <c r="A49">
        <v>1</v>
      </c>
      <c r="B49" t="s">
        <v>452</v>
      </c>
      <c r="C49">
        <v>0.63</v>
      </c>
      <c r="D49" s="3">
        <f>LOG10(C49)</f>
        <v>-0.2006594505464183</v>
      </c>
      <c r="E49"/>
      <c r="F49"/>
      <c r="G49"/>
      <c r="H49"/>
      <c r="I49"/>
      <c r="J49"/>
      <c r="K49"/>
    </row>
    <row r="50" spans="1:11" ht="12.75">
      <c r="A50">
        <v>3</v>
      </c>
      <c r="B50" t="s">
        <v>452</v>
      </c>
      <c r="C50">
        <v>0.38</v>
      </c>
      <c r="D50" s="3">
        <f>LOG10(C50)</f>
        <v>-0.4202164033831898</v>
      </c>
      <c r="E50"/>
      <c r="F50"/>
      <c r="G50"/>
      <c r="H50"/>
      <c r="I50"/>
      <c r="J50"/>
      <c r="K50"/>
    </row>
    <row r="51" spans="1:11" ht="12.75">
      <c r="A51">
        <v>5</v>
      </c>
      <c r="B51" t="s">
        <v>452</v>
      </c>
      <c r="C51">
        <v>0.3</v>
      </c>
      <c r="D51" s="3">
        <f>LOG10(C51)</f>
        <v>-0.5228787452803376</v>
      </c>
      <c r="E51"/>
      <c r="F51"/>
      <c r="G51"/>
      <c r="H51"/>
      <c r="I51" s="12"/>
      <c r="J51" s="12"/>
      <c r="K51" s="12"/>
    </row>
    <row r="52" spans="1:11" ht="12.75">
      <c r="A52">
        <v>6</v>
      </c>
      <c r="B52" t="s">
        <v>452</v>
      </c>
      <c r="C52">
        <v>0.36</v>
      </c>
      <c r="D52" s="3">
        <f>LOG10(C52)</f>
        <v>-0.44369749923271273</v>
      </c>
      <c r="E52" s="94">
        <f>STDEV(D49:D52)</f>
        <v>0.13797904749719264</v>
      </c>
      <c r="F52" s="3">
        <f>AVERAGE(C49:C52)</f>
        <v>0.4175</v>
      </c>
      <c r="G52" s="3">
        <f>STDEV(C49:C52)</f>
        <v>0.1456880228433346</v>
      </c>
      <c r="H52" s="3">
        <f>EXP(SQRT(LN(POWER(G52,2)/POWER(F52,2)+1)))</f>
        <v>1.4035131282340054</v>
      </c>
      <c r="I52" s="13">
        <f>LOG10(H52)</f>
        <v>0.14721647930955306</v>
      </c>
      <c r="J52" s="88">
        <f>E52/I52</f>
        <v>0.9372527324679677</v>
      </c>
      <c r="K52" s="13"/>
    </row>
    <row r="53" spans="1:11" ht="12.75">
      <c r="A53"/>
      <c r="B53"/>
      <c r="C53" s="4" t="s">
        <v>325</v>
      </c>
      <c r="D53"/>
      <c r="E53" s="94"/>
      <c r="F53" s="3"/>
      <c r="G53" s="3"/>
      <c r="H53"/>
      <c r="I53" s="14"/>
      <c r="J53" s="14"/>
      <c r="K53" s="14"/>
    </row>
    <row r="54" spans="1:11" ht="12.75">
      <c r="A54">
        <v>1</v>
      </c>
      <c r="B54" t="s">
        <v>452</v>
      </c>
      <c r="C54">
        <v>0.53</v>
      </c>
      <c r="D54" s="3">
        <f>LOG10(C54)</f>
        <v>-0.27572413039921095</v>
      </c>
      <c r="E54" s="94"/>
      <c r="F54" s="3"/>
      <c r="G54" s="3"/>
      <c r="H54"/>
      <c r="I54" s="14"/>
      <c r="J54" s="14"/>
      <c r="K54" s="14"/>
    </row>
    <row r="55" spans="1:11" ht="12.75">
      <c r="A55">
        <v>3</v>
      </c>
      <c r="B55" t="s">
        <v>452</v>
      </c>
      <c r="C55">
        <v>0.33</v>
      </c>
      <c r="D55" s="3">
        <f>LOG10(C55)</f>
        <v>-0.48148606012211254</v>
      </c>
      <c r="E55" s="94"/>
      <c r="F55" s="3"/>
      <c r="G55" s="3"/>
      <c r="H55"/>
      <c r="I55" s="14"/>
      <c r="J55" s="14"/>
      <c r="K55" s="14"/>
    </row>
    <row r="56" spans="1:11" ht="12.75">
      <c r="A56">
        <v>5</v>
      </c>
      <c r="B56" t="s">
        <v>452</v>
      </c>
      <c r="C56">
        <v>0.24</v>
      </c>
      <c r="D56" s="3">
        <f>LOG10(C56)</f>
        <v>-0.619788758288394</v>
      </c>
      <c r="E56" s="94"/>
      <c r="F56" s="3"/>
      <c r="G56" s="3"/>
      <c r="H56"/>
      <c r="I56" s="14"/>
      <c r="J56" s="14"/>
      <c r="K56" s="14"/>
    </row>
    <row r="57" spans="1:11" ht="12.75">
      <c r="A57">
        <v>6</v>
      </c>
      <c r="B57" t="s">
        <v>452</v>
      </c>
      <c r="C57">
        <v>0.31</v>
      </c>
      <c r="D57" s="3">
        <f>LOG10(C57)</f>
        <v>-0.5086383061657272</v>
      </c>
      <c r="E57" s="94">
        <f>STDEV(D54:D57)</f>
        <v>0.14352315636427504</v>
      </c>
      <c r="F57" s="3">
        <f>AVERAGE(C54:C57)</f>
        <v>0.35250000000000004</v>
      </c>
      <c r="G57" s="3">
        <f>STDEV(C54:C57)</f>
        <v>0.1244655240083238</v>
      </c>
      <c r="H57" s="3">
        <f>EXP(SQRT(LN(POWER(G57,2)/POWER(F57,2)+1)))</f>
        <v>1.4088507855982604</v>
      </c>
      <c r="I57" s="13">
        <f>LOG10(H57)</f>
        <v>0.14886499848700963</v>
      </c>
      <c r="J57" s="88">
        <f>E57/I57</f>
        <v>0.9641161980517486</v>
      </c>
      <c r="K57" s="13"/>
    </row>
    <row r="58" spans="1:11" ht="12.75">
      <c r="A58"/>
      <c r="B58"/>
      <c r="C58" s="4" t="s">
        <v>326</v>
      </c>
      <c r="D58"/>
      <c r="E58" s="94"/>
      <c r="F58" s="3"/>
      <c r="G58" s="3"/>
      <c r="H58"/>
      <c r="I58" s="14"/>
      <c r="J58" s="14"/>
      <c r="K58" s="14"/>
    </row>
    <row r="59" spans="1:11" ht="12.75">
      <c r="A59">
        <v>1</v>
      </c>
      <c r="B59" t="s">
        <v>452</v>
      </c>
      <c r="C59">
        <v>0.48</v>
      </c>
      <c r="D59" s="3">
        <f>LOG10(C59)</f>
        <v>-0.3187587626244128</v>
      </c>
      <c r="E59" s="94"/>
      <c r="F59" s="3"/>
      <c r="G59" s="3"/>
      <c r="H59"/>
      <c r="I59" s="14"/>
      <c r="J59" s="14"/>
      <c r="K59" s="14"/>
    </row>
    <row r="60" spans="1:11" ht="12.75">
      <c r="A60">
        <v>3</v>
      </c>
      <c r="B60" t="s">
        <v>452</v>
      </c>
      <c r="C60">
        <v>0.3</v>
      </c>
      <c r="D60" s="3">
        <f>LOG10(C60)</f>
        <v>-0.5228787452803376</v>
      </c>
      <c r="E60" s="94"/>
      <c r="F60" s="3"/>
      <c r="G60" s="3"/>
      <c r="H60"/>
      <c r="I60" s="14"/>
      <c r="J60" s="14"/>
      <c r="K60" s="14"/>
    </row>
    <row r="61" spans="1:11" ht="12.75">
      <c r="A61">
        <v>5</v>
      </c>
      <c r="B61" t="s">
        <v>452</v>
      </c>
      <c r="C61">
        <v>0.21</v>
      </c>
      <c r="D61" s="3">
        <f>LOG10(C61)</f>
        <v>-0.6777807052660807</v>
      </c>
      <c r="E61" s="94"/>
      <c r="F61" s="3"/>
      <c r="G61" s="3"/>
      <c r="H61"/>
      <c r="I61" s="14"/>
      <c r="J61" s="14"/>
      <c r="K61" s="14"/>
    </row>
    <row r="62" spans="1:11" ht="12.75">
      <c r="A62">
        <v>6</v>
      </c>
      <c r="B62" t="s">
        <v>452</v>
      </c>
      <c r="C62">
        <v>0.29</v>
      </c>
      <c r="D62" s="3">
        <f>LOG10(C62)</f>
        <v>-0.5376020021010439</v>
      </c>
      <c r="E62" s="94">
        <f>STDEV(D59:D62)</f>
        <v>0.14785002153143323</v>
      </c>
      <c r="F62" s="3">
        <f>AVERAGE(C59:C62)</f>
        <v>0.32</v>
      </c>
      <c r="G62" s="3">
        <f>STDEV(C59:C62)</f>
        <v>0.11401754250991378</v>
      </c>
      <c r="H62" s="3">
        <f>EXP(SQRT(LN(POWER(G62,2)/POWER(F62,2)+1)))</f>
        <v>1.4129973607816302</v>
      </c>
      <c r="I62" s="13">
        <f>LOG10(H62)</f>
        <v>0.15014135066735199</v>
      </c>
      <c r="J62" s="88">
        <f>E62/I62</f>
        <v>0.9847388535820798</v>
      </c>
      <c r="K62" s="13"/>
    </row>
    <row r="63" spans="1:11" ht="12.75">
      <c r="A63"/>
      <c r="B63"/>
      <c r="C63" s="4" t="s">
        <v>327</v>
      </c>
      <c r="D63"/>
      <c r="E63" s="94"/>
      <c r="F63" s="3"/>
      <c r="G63" s="3"/>
      <c r="H63"/>
      <c r="I63" s="14"/>
      <c r="J63" s="14"/>
      <c r="K63" s="14"/>
    </row>
    <row r="64" spans="1:11" ht="12.75">
      <c r="A64">
        <v>1</v>
      </c>
      <c r="B64" t="s">
        <v>452</v>
      </c>
      <c r="C64">
        <v>0.46</v>
      </c>
      <c r="D64" s="3">
        <f>LOG10(C64)</f>
        <v>-0.3372421683184259</v>
      </c>
      <c r="E64" s="94"/>
      <c r="F64" s="3"/>
      <c r="G64" s="3"/>
      <c r="H64"/>
      <c r="I64" s="14"/>
      <c r="J64" s="14"/>
      <c r="K64" s="14"/>
    </row>
    <row r="65" spans="1:11" ht="12.75">
      <c r="A65">
        <v>3</v>
      </c>
      <c r="B65" t="s">
        <v>452</v>
      </c>
      <c r="C65">
        <v>0.28</v>
      </c>
      <c r="D65" s="3">
        <f>LOG10(C65)</f>
        <v>-0.5528419686577807</v>
      </c>
      <c r="E65" s="94"/>
      <c r="F65" s="3"/>
      <c r="G65" s="3"/>
      <c r="H65"/>
      <c r="I65" s="14"/>
      <c r="J65" s="14"/>
      <c r="K65" s="14"/>
    </row>
    <row r="66" spans="1:11" ht="12.75">
      <c r="A66">
        <v>5</v>
      </c>
      <c r="B66" t="s">
        <v>452</v>
      </c>
      <c r="C66">
        <v>0.19</v>
      </c>
      <c r="D66" s="3">
        <f>LOG10(C66)</f>
        <v>-0.721246399047171</v>
      </c>
      <c r="E66" s="94"/>
      <c r="F66" s="3"/>
      <c r="G66" s="3"/>
      <c r="H66"/>
      <c r="I66" s="14"/>
      <c r="J66" s="14"/>
      <c r="K66" s="14"/>
    </row>
    <row r="67" spans="1:11" ht="12.75">
      <c r="A67">
        <v>6</v>
      </c>
      <c r="B67" t="s">
        <v>452</v>
      </c>
      <c r="C67">
        <v>0.28</v>
      </c>
      <c r="D67" s="3">
        <f>LOG10(C67)</f>
        <v>-0.5528419686577807</v>
      </c>
      <c r="E67" s="94">
        <f>STDEV(D64:D67)</f>
        <v>0.1573599645663472</v>
      </c>
      <c r="F67" s="3">
        <f>AVERAGE(C64:C67)</f>
        <v>0.3025</v>
      </c>
      <c r="G67" s="3">
        <f>STDEV(C64:C67)</f>
        <v>0.1132475165290614</v>
      </c>
      <c r="H67" s="3">
        <f>EXP(SQRT(LN(POWER(G67,2)/POWER(F67,2)+1)))</f>
        <v>1.4364362723344937</v>
      </c>
      <c r="I67" s="13">
        <f>LOG10(H67)</f>
        <v>0.15728636322918302</v>
      </c>
      <c r="J67" s="88">
        <f>E67/I67</f>
        <v>1.000467944808775</v>
      </c>
      <c r="K67" s="13"/>
    </row>
    <row r="69" spans="1:11" ht="15">
      <c r="A69" s="26" t="s">
        <v>127</v>
      </c>
      <c r="B69" s="24" t="s">
        <v>214</v>
      </c>
      <c r="C69" s="16" t="s">
        <v>137</v>
      </c>
      <c r="D69" s="25" t="s">
        <v>340</v>
      </c>
      <c r="E69" s="25" t="s">
        <v>341</v>
      </c>
      <c r="F69" s="25" t="s">
        <v>598</v>
      </c>
      <c r="G69" s="25" t="s">
        <v>170</v>
      </c>
      <c r="H69" s="25" t="s">
        <v>126</v>
      </c>
      <c r="I69" s="14" t="s">
        <v>384</v>
      </c>
      <c r="J69" s="14"/>
      <c r="K69" s="14"/>
    </row>
    <row r="70" spans="1:11" ht="12.75">
      <c r="A70"/>
      <c r="B70"/>
      <c r="C70" s="4" t="s">
        <v>138</v>
      </c>
      <c r="D70"/>
      <c r="E70"/>
      <c r="F70"/>
      <c r="G70"/>
      <c r="H70"/>
      <c r="I70"/>
      <c r="J70"/>
      <c r="K70"/>
    </row>
    <row r="71" spans="1:11" ht="12.75">
      <c r="A71">
        <v>1</v>
      </c>
      <c r="B71" t="s">
        <v>453</v>
      </c>
      <c r="C71">
        <v>0.7</v>
      </c>
      <c r="D71" s="3">
        <f>LOG10(C71)</f>
        <v>-0.15490195998574316</v>
      </c>
      <c r="E71"/>
      <c r="F71"/>
      <c r="G71"/>
      <c r="H71"/>
      <c r="I71"/>
      <c r="J71"/>
      <c r="K71"/>
    </row>
    <row r="72" spans="1:11" ht="12.75">
      <c r="A72">
        <v>3</v>
      </c>
      <c r="B72" t="s">
        <v>453</v>
      </c>
      <c r="C72">
        <v>0.51</v>
      </c>
      <c r="D72" s="3">
        <f>LOG10(C72)</f>
        <v>-0.2924298239020636</v>
      </c>
      <c r="E72"/>
      <c r="F72"/>
      <c r="G72"/>
      <c r="H72"/>
      <c r="I72"/>
      <c r="J72"/>
      <c r="K72"/>
    </row>
    <row r="73" spans="1:11" ht="12.75">
      <c r="A73">
        <v>5</v>
      </c>
      <c r="B73" t="s">
        <v>453</v>
      </c>
      <c r="C73">
        <v>0.46</v>
      </c>
      <c r="D73" s="3">
        <f>LOG10(C73)</f>
        <v>-0.3372421683184259</v>
      </c>
      <c r="E73"/>
      <c r="F73"/>
      <c r="G73"/>
      <c r="H73"/>
      <c r="I73" s="12"/>
      <c r="J73" s="12"/>
      <c r="K73" s="12"/>
    </row>
    <row r="74" spans="1:11" ht="12.75">
      <c r="A74">
        <v>6</v>
      </c>
      <c r="B74" t="s">
        <v>453</v>
      </c>
      <c r="C74">
        <v>0.58</v>
      </c>
      <c r="D74" s="3">
        <f>LOG10(C74)</f>
        <v>-0.23657200643706278</v>
      </c>
      <c r="E74" s="94">
        <f>STDEV(D71:D74)</f>
        <v>0.07857829688322358</v>
      </c>
      <c r="F74" s="3">
        <f>AVERAGE(C71:C74)</f>
        <v>0.5625</v>
      </c>
      <c r="G74" s="3">
        <f>STDEV(C71:C74)</f>
        <v>0.10404326023342411</v>
      </c>
      <c r="H74" s="3">
        <f>EXP(SQRT(LN(POWER(G74,2)/POWER(F74,2)+1)))</f>
        <v>1.2013097583418149</v>
      </c>
      <c r="I74" s="13">
        <f>LOG10(H74)</f>
        <v>0.07965500489935888</v>
      </c>
      <c r="J74" s="88">
        <f>E74/I74</f>
        <v>0.9864828579510393</v>
      </c>
      <c r="K74" s="13"/>
    </row>
    <row r="75" spans="1:11" ht="12.75">
      <c r="A75"/>
      <c r="B75"/>
      <c r="C75" s="4" t="s">
        <v>325</v>
      </c>
      <c r="D75"/>
      <c r="E75" s="94"/>
      <c r="F75" s="3"/>
      <c r="G75" s="3"/>
      <c r="H75"/>
      <c r="I75" s="14"/>
      <c r="J75" s="14"/>
      <c r="K75" s="14"/>
    </row>
    <row r="76" spans="1:11" ht="12.75">
      <c r="A76">
        <v>1</v>
      </c>
      <c r="B76" t="s">
        <v>453</v>
      </c>
      <c r="C76">
        <v>0.62</v>
      </c>
      <c r="D76" s="3">
        <f>LOG10(C76)</f>
        <v>-0.2076083105017461</v>
      </c>
      <c r="E76" s="94"/>
      <c r="F76" s="3"/>
      <c r="G76" s="3"/>
      <c r="H76"/>
      <c r="I76" s="14"/>
      <c r="J76" s="14"/>
      <c r="K76" s="14"/>
    </row>
    <row r="77" spans="1:11" ht="12.75">
      <c r="A77">
        <v>3</v>
      </c>
      <c r="B77" t="s">
        <v>453</v>
      </c>
      <c r="C77">
        <v>0.44</v>
      </c>
      <c r="D77" s="3">
        <f>LOG10(C77)</f>
        <v>-0.3565473235138126</v>
      </c>
      <c r="E77" s="94"/>
      <c r="F77" s="3"/>
      <c r="G77" s="3"/>
      <c r="H77"/>
      <c r="I77" s="14"/>
      <c r="J77" s="14"/>
      <c r="K77" s="14"/>
    </row>
    <row r="78" spans="1:11" ht="12.75">
      <c r="A78">
        <v>5</v>
      </c>
      <c r="B78" t="s">
        <v>453</v>
      </c>
      <c r="C78">
        <v>0.39</v>
      </c>
      <c r="D78" s="3">
        <f>LOG10(C78)</f>
        <v>-0.40893539297350073</v>
      </c>
      <c r="E78" s="94"/>
      <c r="F78" s="3"/>
      <c r="G78" s="3"/>
      <c r="H78"/>
      <c r="I78" s="14"/>
      <c r="J78" s="14"/>
      <c r="K78" s="14"/>
    </row>
    <row r="79" spans="1:11" ht="12.75">
      <c r="A79">
        <v>6</v>
      </c>
      <c r="B79" t="s">
        <v>453</v>
      </c>
      <c r="C79">
        <v>0.52</v>
      </c>
      <c r="D79" s="3">
        <f>LOG10(C79)</f>
        <v>-0.2839966563652008</v>
      </c>
      <c r="E79" s="94">
        <f>STDEV(D76:D79)</f>
        <v>0.08763960299052986</v>
      </c>
      <c r="F79" s="3">
        <f>AVERAGE(C76:C79)</f>
        <v>0.49250000000000005</v>
      </c>
      <c r="G79" s="3">
        <f>STDEV(C76:C79)</f>
        <v>0.10045728777279749</v>
      </c>
      <c r="H79" s="3">
        <f>EXP(SQRT(LN(POWER(G79,2)/POWER(F79,2)+1)))</f>
        <v>1.2237245188473584</v>
      </c>
      <c r="I79" s="13">
        <f>LOG10(H79)</f>
        <v>0.08768366175566907</v>
      </c>
      <c r="J79" s="88">
        <f>E79/I79</f>
        <v>0.9994975259443205</v>
      </c>
      <c r="K79" s="13"/>
    </row>
    <row r="80" spans="1:11" ht="12.75">
      <c r="A80"/>
      <c r="B80"/>
      <c r="C80" s="4" t="s">
        <v>326</v>
      </c>
      <c r="D80"/>
      <c r="E80" s="94"/>
      <c r="F80" s="3"/>
      <c r="G80" s="3"/>
      <c r="H80"/>
      <c r="I80" s="14"/>
      <c r="J80" s="14"/>
      <c r="K80" s="14"/>
    </row>
    <row r="81" spans="1:11" ht="12.75">
      <c r="A81">
        <v>1</v>
      </c>
      <c r="B81" t="s">
        <v>453</v>
      </c>
      <c r="C81">
        <v>0.59</v>
      </c>
      <c r="D81" s="3">
        <f>LOG10(C81)</f>
        <v>-0.22914798835785583</v>
      </c>
      <c r="E81" s="94"/>
      <c r="F81" s="3"/>
      <c r="G81" s="3"/>
      <c r="H81"/>
      <c r="I81" s="14"/>
      <c r="J81" s="14"/>
      <c r="K81" s="14"/>
    </row>
    <row r="82" spans="1:11" ht="12.75">
      <c r="A82">
        <v>3</v>
      </c>
      <c r="B82" t="s">
        <v>453</v>
      </c>
      <c r="C82">
        <v>0.42</v>
      </c>
      <c r="D82" s="3">
        <f>LOG10(C82)</f>
        <v>-0.37675070960209955</v>
      </c>
      <c r="E82" s="94"/>
      <c r="F82" s="3"/>
      <c r="G82" s="3"/>
      <c r="H82"/>
      <c r="I82" s="14"/>
      <c r="J82" s="14"/>
      <c r="K82" s="14"/>
    </row>
    <row r="83" spans="1:11" ht="12.75">
      <c r="A83">
        <v>5</v>
      </c>
      <c r="B83" t="s">
        <v>453</v>
      </c>
      <c r="C83">
        <v>0.37</v>
      </c>
      <c r="D83" s="3">
        <f>LOG10(C83)</f>
        <v>-0.431798275933005</v>
      </c>
      <c r="E83" s="94"/>
      <c r="F83" s="3"/>
      <c r="G83" s="3"/>
      <c r="H83"/>
      <c r="I83" s="14"/>
      <c r="J83" s="14"/>
      <c r="K83" s="14"/>
    </row>
    <row r="84" spans="1:11" ht="12.75">
      <c r="A84">
        <v>6</v>
      </c>
      <c r="B84" t="s">
        <v>453</v>
      </c>
      <c r="C84">
        <v>0.49</v>
      </c>
      <c r="D84" s="3">
        <f>LOG10(C84)</f>
        <v>-0.3098039199714863</v>
      </c>
      <c r="E84" s="94">
        <f>STDEV(D81:D84)</f>
        <v>0.08744227227373375</v>
      </c>
      <c r="F84" s="3">
        <f>AVERAGE(C81:C84)</f>
        <v>0.46749999999999997</v>
      </c>
      <c r="G84" s="3">
        <f>STDEV(C81:C84)</f>
        <v>0.09535023160258545</v>
      </c>
      <c r="H84" s="3">
        <f>EXP(SQRT(LN(POWER(G84,2)/POWER(F84,2)+1)))</f>
        <v>1.2237049659852648</v>
      </c>
      <c r="I84" s="13">
        <f>LOG10(H84)</f>
        <v>0.08767672247495396</v>
      </c>
      <c r="J84" s="88">
        <f>E84/I84</f>
        <v>0.9973259698286829</v>
      </c>
      <c r="K84" s="13"/>
    </row>
    <row r="85" spans="1:11" ht="12.75">
      <c r="A85"/>
      <c r="B85"/>
      <c r="C85" s="4" t="s">
        <v>327</v>
      </c>
      <c r="D85"/>
      <c r="E85" s="94"/>
      <c r="F85" s="3"/>
      <c r="G85" s="3"/>
      <c r="H85"/>
      <c r="I85" s="14"/>
      <c r="J85" s="14"/>
      <c r="K85" s="14"/>
    </row>
    <row r="86" spans="1:11" ht="12.75">
      <c r="A86">
        <v>1</v>
      </c>
      <c r="B86" t="s">
        <v>453</v>
      </c>
      <c r="C86">
        <v>0.57</v>
      </c>
      <c r="D86" s="3">
        <f>LOG10(C86)</f>
        <v>-0.24412514432750865</v>
      </c>
      <c r="E86" s="94"/>
      <c r="F86" s="3"/>
      <c r="G86" s="3"/>
      <c r="H86"/>
      <c r="I86" s="14"/>
      <c r="J86" s="14"/>
      <c r="K86" s="14"/>
    </row>
    <row r="87" spans="1:11" ht="12.75">
      <c r="A87">
        <v>3</v>
      </c>
      <c r="B87" t="s">
        <v>453</v>
      </c>
      <c r="C87">
        <v>0.41</v>
      </c>
      <c r="D87" s="3">
        <f>LOG10(C87)</f>
        <v>-0.38721614328026455</v>
      </c>
      <c r="E87" s="94"/>
      <c r="F87" s="3"/>
      <c r="G87" s="3"/>
      <c r="H87"/>
      <c r="I87" s="14"/>
      <c r="J87" s="14"/>
      <c r="K87" s="14"/>
    </row>
    <row r="88" spans="1:11" ht="12.75">
      <c r="A88">
        <v>5</v>
      </c>
      <c r="B88" t="s">
        <v>453</v>
      </c>
      <c r="C88">
        <v>0.35</v>
      </c>
      <c r="D88" s="3">
        <f>LOG10(C88)</f>
        <v>-0.45593195564972444</v>
      </c>
      <c r="E88" s="94"/>
      <c r="F88" s="3"/>
      <c r="G88" s="3"/>
      <c r="H88"/>
      <c r="I88" s="14"/>
      <c r="J88" s="14"/>
      <c r="K88" s="14"/>
    </row>
    <row r="89" spans="1:11" ht="12.75">
      <c r="A89">
        <v>6</v>
      </c>
      <c r="B89" t="s">
        <v>453</v>
      </c>
      <c r="C89">
        <v>0.48</v>
      </c>
      <c r="D89" s="3">
        <f>LOG10(C89)</f>
        <v>-0.3187587626244128</v>
      </c>
      <c r="E89" s="94">
        <f>STDEV(D86:D89)</f>
        <v>0.09089008792881134</v>
      </c>
      <c r="F89" s="3">
        <f>AVERAGE(C86:C89)</f>
        <v>0.4525</v>
      </c>
      <c r="G89" s="3">
        <f>STDEV(C86:C89)</f>
        <v>0.09464847243000435</v>
      </c>
      <c r="H89" s="3">
        <f>EXP(SQRT(LN(POWER(G89,2)/POWER(F89,2)+1)))</f>
        <v>1.2298998337476887</v>
      </c>
      <c r="I89" s="13">
        <f>LOG10(H89)</f>
        <v>0.08986974280358688</v>
      </c>
      <c r="J89" s="88">
        <f>E89/I89</f>
        <v>1.0113536001483219</v>
      </c>
      <c r="K89" s="13"/>
    </row>
    <row r="91" ht="18.75">
      <c r="A91" s="79" t="s">
        <v>181</v>
      </c>
    </row>
    <row r="92" spans="1:21" ht="15">
      <c r="A92" s="26" t="s">
        <v>127</v>
      </c>
      <c r="B92" s="15" t="s">
        <v>214</v>
      </c>
      <c r="C92" s="16" t="s">
        <v>137</v>
      </c>
      <c r="D92" s="15" t="s">
        <v>340</v>
      </c>
      <c r="E92" s="15" t="s">
        <v>341</v>
      </c>
      <c r="F92" s="15" t="s">
        <v>598</v>
      </c>
      <c r="G92" s="15" t="s">
        <v>170</v>
      </c>
      <c r="H92" s="15" t="s">
        <v>126</v>
      </c>
      <c r="I92" s="23" t="s">
        <v>384</v>
      </c>
      <c r="J92" s="23"/>
      <c r="K92" s="23"/>
      <c r="L92" s="26" t="s">
        <v>127</v>
      </c>
      <c r="M92" s="15" t="s">
        <v>214</v>
      </c>
      <c r="N92" s="16" t="s">
        <v>454</v>
      </c>
      <c r="O92" s="15" t="s">
        <v>340</v>
      </c>
      <c r="P92" s="15" t="s">
        <v>341</v>
      </c>
      <c r="Q92" s="15" t="s">
        <v>598</v>
      </c>
      <c r="R92" s="15" t="s">
        <v>170</v>
      </c>
      <c r="S92" s="15" t="s">
        <v>126</v>
      </c>
      <c r="T92" s="23" t="s">
        <v>384</v>
      </c>
      <c r="U92" s="87" t="s">
        <v>323</v>
      </c>
    </row>
    <row r="93" spans="1:20" ht="12.75">
      <c r="A93" s="15"/>
      <c r="B93" s="15"/>
      <c r="C93" s="17" t="s">
        <v>138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7" t="s">
        <v>137</v>
      </c>
      <c r="O93" s="15"/>
      <c r="P93" s="15"/>
      <c r="Q93" s="15"/>
      <c r="R93" s="15"/>
      <c r="S93" s="15"/>
      <c r="T93" s="15"/>
    </row>
    <row r="94" spans="1:20" ht="12.75">
      <c r="A94" s="15">
        <v>1</v>
      </c>
      <c r="B94" s="15" t="s">
        <v>136</v>
      </c>
      <c r="C94" s="15">
        <f>-LN(1-C5)</f>
        <v>0.040821994520255166</v>
      </c>
      <c r="D94" s="18">
        <f>LOG10(C94)</f>
        <v>-1.3891057799242237</v>
      </c>
      <c r="E94" s="15"/>
      <c r="F94" s="15"/>
      <c r="G94" s="15"/>
      <c r="H94" s="15"/>
      <c r="I94" s="15"/>
      <c r="J94" s="15"/>
      <c r="K94" s="15"/>
      <c r="L94" s="15">
        <v>1</v>
      </c>
      <c r="M94" s="15" t="s">
        <v>136</v>
      </c>
      <c r="N94" s="15">
        <f>-LN(1-N5)</f>
        <v>0.020202707317519466</v>
      </c>
      <c r="O94" s="18">
        <f>LOG10(N94)</f>
        <v>-1.6945904278665125</v>
      </c>
      <c r="P94" s="15"/>
      <c r="Q94" s="15"/>
      <c r="R94" s="15"/>
      <c r="S94" s="15"/>
      <c r="T94" s="15"/>
    </row>
    <row r="95" spans="1:20" ht="12.75">
      <c r="A95" s="15">
        <v>3</v>
      </c>
      <c r="B95" s="15" t="s">
        <v>136</v>
      </c>
      <c r="C95" s="15">
        <f>-LN(1-C6)</f>
        <v>0.06187540371808752</v>
      </c>
      <c r="D95" s="18">
        <f>LOG10(C95)</f>
        <v>-1.208481954410445</v>
      </c>
      <c r="E95" s="15"/>
      <c r="F95" s="15"/>
      <c r="G95" s="15"/>
      <c r="H95" s="15"/>
      <c r="I95" s="15"/>
      <c r="J95" s="15"/>
      <c r="K95" s="15"/>
      <c r="L95" s="15">
        <v>3</v>
      </c>
      <c r="M95" s="15" t="s">
        <v>136</v>
      </c>
      <c r="N95" s="15">
        <f>-LN(1-N6)</f>
        <v>0.08338160893905103</v>
      </c>
      <c r="O95" s="18">
        <f>LOG10(N95)</f>
        <v>-1.0789297289433515</v>
      </c>
      <c r="P95" s="15"/>
      <c r="Q95" s="15"/>
      <c r="R95" s="15"/>
      <c r="S95" s="15"/>
      <c r="T95" s="15"/>
    </row>
    <row r="96" spans="1:20" ht="12.75">
      <c r="A96" s="15">
        <v>5</v>
      </c>
      <c r="B96" s="15" t="s">
        <v>136</v>
      </c>
      <c r="C96" s="15">
        <f>-LN(1-C7)</f>
        <v>0.01005033585350145</v>
      </c>
      <c r="D96" s="18">
        <f>LOG10(C96)</f>
        <v>-1.9978194251205788</v>
      </c>
      <c r="E96" s="15"/>
      <c r="F96" s="15"/>
      <c r="G96" s="15"/>
      <c r="H96" s="15"/>
      <c r="I96" s="19"/>
      <c r="J96" s="19"/>
      <c r="K96" s="19"/>
      <c r="L96" s="15">
        <v>5</v>
      </c>
      <c r="M96" s="15" t="s">
        <v>136</v>
      </c>
      <c r="N96" s="15">
        <f>-LN(1-N7)</f>
        <v>0.01005033585350145</v>
      </c>
      <c r="O96" s="18">
        <f>LOG10(N96)</f>
        <v>-1.9978194251205788</v>
      </c>
      <c r="P96" s="15"/>
      <c r="Q96" s="15"/>
      <c r="R96" s="15"/>
      <c r="S96" s="15"/>
      <c r="T96" s="19"/>
    </row>
    <row r="97" spans="1:21" ht="12.75">
      <c r="A97" s="15">
        <v>6</v>
      </c>
      <c r="B97" s="15" t="s">
        <v>136</v>
      </c>
      <c r="C97" s="15">
        <f>-LN(1-C8)</f>
        <v>0.040821994520255166</v>
      </c>
      <c r="D97" s="18">
        <f>LOG10(C97)</f>
        <v>-1.3891057799242237</v>
      </c>
      <c r="E97" s="95">
        <f>STDEV(D94:D97)</f>
        <v>0.3451289830206007</v>
      </c>
      <c r="F97" s="18">
        <f>AVERAGE(C94:C97)</f>
        <v>0.038392432153024826</v>
      </c>
      <c r="G97" s="18">
        <f>STDEV(C94:C97)</f>
        <v>0.02134267964095671</v>
      </c>
      <c r="H97" s="18">
        <f>EXP(SQRT(LN(POWER(G97,2)/POWER(F97,2)+1)))</f>
        <v>1.6802309806530509</v>
      </c>
      <c r="I97" s="21">
        <f>LOG10(H97)</f>
        <v>0.22536898811139527</v>
      </c>
      <c r="J97" s="88">
        <f>E97/I97</f>
        <v>1.531395184017113</v>
      </c>
      <c r="K97" s="21"/>
      <c r="L97" s="15">
        <v>6</v>
      </c>
      <c r="M97" s="15" t="s">
        <v>136</v>
      </c>
      <c r="N97" s="15">
        <f>-LN(1-N8)</f>
        <v>0.040821994520255166</v>
      </c>
      <c r="O97" s="18">
        <f>LOG10(N97)</f>
        <v>-1.3891057799242237</v>
      </c>
      <c r="P97" s="20">
        <f>STDEV(O94:O97)</f>
        <v>0.39532755925663365</v>
      </c>
      <c r="Q97" s="18">
        <f>AVERAGE(N94:N97)</f>
        <v>0.03861416165758178</v>
      </c>
      <c r="R97" s="18">
        <f>STDEV(N94:N97)</f>
        <v>0.032474978355295184</v>
      </c>
      <c r="S97" s="18">
        <f>EXP(SQRT(LN(POWER(R97,2)/POWER(Q97,2)+1)))</f>
        <v>2.0779423500149488</v>
      </c>
      <c r="T97" s="21">
        <f>LOG10(S97)</f>
        <v>0.3176334944157217</v>
      </c>
      <c r="U97" s="88">
        <f>P97/T97</f>
        <v>1.2446028715700406</v>
      </c>
    </row>
    <row r="98" spans="1:20" ht="12.75">
      <c r="A98" s="15"/>
      <c r="B98" s="15"/>
      <c r="C98" s="17" t="s">
        <v>325</v>
      </c>
      <c r="D98" s="15"/>
      <c r="E98" s="95"/>
      <c r="F98" s="18"/>
      <c r="G98" s="18"/>
      <c r="H98" s="15"/>
      <c r="I98" s="23"/>
      <c r="J98" s="23"/>
      <c r="K98" s="23"/>
      <c r="L98" s="15"/>
      <c r="M98" s="15"/>
      <c r="N98" s="17" t="s">
        <v>493</v>
      </c>
      <c r="O98" s="15"/>
      <c r="P98" s="22"/>
      <c r="Q98" s="18"/>
      <c r="R98" s="18"/>
      <c r="S98" s="15"/>
      <c r="T98" s="23"/>
    </row>
    <row r="99" spans="1:20" ht="12.75">
      <c r="A99" s="15">
        <v>1</v>
      </c>
      <c r="B99" s="15" t="s">
        <v>136</v>
      </c>
      <c r="C99" s="15">
        <f>-LN(1-C10)</f>
        <v>0.020202707317519466</v>
      </c>
      <c r="D99" s="18">
        <f>LOG10(C99)</f>
        <v>-1.6945904278665125</v>
      </c>
      <c r="E99" s="95"/>
      <c r="F99" s="18"/>
      <c r="G99" s="18"/>
      <c r="H99" s="15"/>
      <c r="I99" s="23"/>
      <c r="J99" s="23"/>
      <c r="K99" s="23"/>
      <c r="L99" s="15">
        <v>1</v>
      </c>
      <c r="M99" s="15" t="s">
        <v>136</v>
      </c>
      <c r="N99" s="15">
        <f>-LN(1-N10)</f>
        <v>0.10536051565782627</v>
      </c>
      <c r="O99" s="18">
        <f>LOG10(N99)</f>
        <v>-0.9773221125071639</v>
      </c>
      <c r="P99" s="22"/>
      <c r="Q99" s="18"/>
      <c r="R99" s="18"/>
      <c r="S99" s="15"/>
      <c r="T99" s="23"/>
    </row>
    <row r="100" spans="1:20" ht="12.75">
      <c r="A100" s="15">
        <v>3</v>
      </c>
      <c r="B100" s="15" t="s">
        <v>136</v>
      </c>
      <c r="C100" s="15">
        <f>-LN(1-C11)</f>
        <v>0.08338160893905103</v>
      </c>
      <c r="D100" s="18">
        <f>LOG10(C100)</f>
        <v>-1.0789297289433515</v>
      </c>
      <c r="E100" s="95"/>
      <c r="F100" s="18"/>
      <c r="G100" s="18"/>
      <c r="H100" s="15"/>
      <c r="I100" s="23"/>
      <c r="J100" s="23"/>
      <c r="K100" s="23"/>
      <c r="L100" s="15">
        <v>3</v>
      </c>
      <c r="M100" s="15" t="s">
        <v>136</v>
      </c>
      <c r="N100" s="15">
        <f>-LN(1-N11)</f>
        <v>0.15082288973458366</v>
      </c>
      <c r="O100" s="18">
        <f>LOG10(N100)</f>
        <v>-0.8215327424779075</v>
      </c>
      <c r="P100" s="22"/>
      <c r="Q100" s="18"/>
      <c r="R100" s="18"/>
      <c r="S100" s="15"/>
      <c r="T100" s="23"/>
    </row>
    <row r="101" spans="1:20" ht="12.75">
      <c r="A101" s="15">
        <v>5</v>
      </c>
      <c r="B101" s="15" t="s">
        <v>136</v>
      </c>
      <c r="C101" s="15">
        <f>-LN(1-C12)</f>
        <v>0.01005033585350145</v>
      </c>
      <c r="D101" s="18">
        <f>LOG10(C101)</f>
        <v>-1.9978194251205788</v>
      </c>
      <c r="E101" s="95"/>
      <c r="F101" s="18"/>
      <c r="G101" s="18"/>
      <c r="H101" s="15"/>
      <c r="I101" s="23"/>
      <c r="J101" s="23"/>
      <c r="K101" s="23"/>
      <c r="L101" s="15">
        <v>5</v>
      </c>
      <c r="M101" s="15" t="s">
        <v>136</v>
      </c>
      <c r="N101" s="15">
        <f>-LN(1-N12)</f>
        <v>0.030459207484708574</v>
      </c>
      <c r="O101" s="18">
        <f>LOG10(N101)</f>
        <v>-1.5162814007207743</v>
      </c>
      <c r="P101" s="22"/>
      <c r="Q101" s="18"/>
      <c r="R101" s="18"/>
      <c r="S101" s="15"/>
      <c r="T101" s="23"/>
    </row>
    <row r="102" spans="1:21" ht="12.75">
      <c r="A102" s="15">
        <v>6</v>
      </c>
      <c r="B102" s="15" t="s">
        <v>136</v>
      </c>
      <c r="C102" s="15">
        <f>-LN(1-C13)</f>
        <v>0.040821994520255166</v>
      </c>
      <c r="D102" s="18">
        <f>LOG10(C102)</f>
        <v>-1.3891057799242237</v>
      </c>
      <c r="E102" s="95">
        <f>STDEV(D99:D102)</f>
        <v>0.39532755925663365</v>
      </c>
      <c r="F102" s="18">
        <f>AVERAGE(C99:C102)</f>
        <v>0.03861416165758178</v>
      </c>
      <c r="G102" s="18">
        <f>STDEV(C99:C102)</f>
        <v>0.032474978355295184</v>
      </c>
      <c r="H102" s="18">
        <f>EXP(SQRT(LN(POWER(G102,2)/POWER(F102,2)+1)))</f>
        <v>2.0779423500149488</v>
      </c>
      <c r="I102" s="21">
        <f>LOG10(H102)</f>
        <v>0.3176334944157217</v>
      </c>
      <c r="J102" s="88">
        <f>E102/I102</f>
        <v>1.2446028715700406</v>
      </c>
      <c r="K102" s="21"/>
      <c r="L102" s="15">
        <v>6</v>
      </c>
      <c r="M102" s="15" t="s">
        <v>136</v>
      </c>
      <c r="N102" s="15">
        <f>-LN(1-N13)</f>
        <v>0.0725706928348355</v>
      </c>
      <c r="O102" s="18">
        <f>LOG10(N102)</f>
        <v>-1.1392387306746987</v>
      </c>
      <c r="P102" s="20">
        <f>STDEV(O99:O102)</f>
        <v>0.2981524220800603</v>
      </c>
      <c r="Q102" s="18">
        <f>AVERAGE(N99:N102)</f>
        <v>0.0898033264279885</v>
      </c>
      <c r="R102" s="18">
        <f>STDEV(N99:N102)</f>
        <v>0.05093820228659619</v>
      </c>
      <c r="S102" s="18">
        <f>EXP(SQRT(LN(POWER(R102,2)/POWER(Q102,2)+1)))</f>
        <v>1.6958004204737218</v>
      </c>
      <c r="T102" s="21">
        <f>LOG10(S102)</f>
        <v>0.22937473861217533</v>
      </c>
      <c r="U102" s="88">
        <f>P102/T102</f>
        <v>1.2998485530011814</v>
      </c>
    </row>
    <row r="103" spans="1:20" ht="15">
      <c r="A103" s="15"/>
      <c r="B103" s="15"/>
      <c r="C103" s="17" t="s">
        <v>326</v>
      </c>
      <c r="D103" s="15"/>
      <c r="E103" s="95"/>
      <c r="F103" s="18"/>
      <c r="G103" s="18"/>
      <c r="H103" s="15"/>
      <c r="I103" s="23"/>
      <c r="J103" s="23"/>
      <c r="K103" s="23"/>
      <c r="L103" s="26" t="s">
        <v>127</v>
      </c>
      <c r="M103" s="15" t="s">
        <v>214</v>
      </c>
      <c r="N103" s="16" t="s">
        <v>454</v>
      </c>
      <c r="O103" s="15" t="s">
        <v>340</v>
      </c>
      <c r="P103" s="15" t="s">
        <v>341</v>
      </c>
      <c r="Q103" s="15" t="s">
        <v>598</v>
      </c>
      <c r="R103" s="15" t="s">
        <v>170</v>
      </c>
      <c r="S103" s="15" t="s">
        <v>126</v>
      </c>
      <c r="T103" s="23" t="s">
        <v>384</v>
      </c>
    </row>
    <row r="104" spans="1:20" ht="12.75">
      <c r="A104" s="15">
        <v>1</v>
      </c>
      <c r="B104" s="15" t="s">
        <v>136</v>
      </c>
      <c r="C104" s="15">
        <f>-LN(1-C15)</f>
        <v>0.040821994520255166</v>
      </c>
      <c r="D104" s="18">
        <f>LOG10(C104)</f>
        <v>-1.3891057799242237</v>
      </c>
      <c r="E104" s="95"/>
      <c r="F104" s="18"/>
      <c r="G104" s="18"/>
      <c r="H104" s="15"/>
      <c r="I104" s="23"/>
      <c r="J104" s="23"/>
      <c r="K104" s="23"/>
      <c r="L104" s="15"/>
      <c r="M104" s="15"/>
      <c r="N104" s="17" t="s">
        <v>137</v>
      </c>
      <c r="O104" s="15"/>
      <c r="P104" s="15"/>
      <c r="Q104" s="15"/>
      <c r="R104" s="15"/>
      <c r="S104" s="15"/>
      <c r="T104" s="15"/>
    </row>
    <row r="105" spans="1:20" ht="12.75">
      <c r="A105" s="15">
        <v>3</v>
      </c>
      <c r="B105" s="15" t="s">
        <v>136</v>
      </c>
      <c r="C105" s="15">
        <f>-LN(1-C16)</f>
        <v>0.06187540371808752</v>
      </c>
      <c r="D105" s="18">
        <f>LOG10(C105)</f>
        <v>-1.208481954410445</v>
      </c>
      <c r="E105" s="95"/>
      <c r="F105" s="18"/>
      <c r="G105" s="18"/>
      <c r="H105" s="15"/>
      <c r="I105" s="23"/>
      <c r="J105" s="23"/>
      <c r="K105" s="23"/>
      <c r="L105" s="15">
        <v>1</v>
      </c>
      <c r="M105" s="15" t="s">
        <v>328</v>
      </c>
      <c r="N105" s="15">
        <f>-LN(1-N16)</f>
        <v>0.23572233352106983</v>
      </c>
      <c r="O105" s="18">
        <f>LOG10(N105)</f>
        <v>-0.6275992682798079</v>
      </c>
      <c r="P105" s="15"/>
      <c r="Q105" s="15"/>
      <c r="R105" s="15"/>
      <c r="S105" s="15"/>
      <c r="T105" s="15"/>
    </row>
    <row r="106" spans="1:20" ht="12.75">
      <c r="A106" s="15">
        <v>5</v>
      </c>
      <c r="B106" s="15" t="s">
        <v>136</v>
      </c>
      <c r="C106" s="15">
        <f>-LN(1-C17)</f>
        <v>0.01005033585350145</v>
      </c>
      <c r="D106" s="18">
        <f>LOG10(C106)</f>
        <v>-1.9978194251205788</v>
      </c>
      <c r="E106" s="95"/>
      <c r="F106" s="18"/>
      <c r="G106" s="18"/>
      <c r="H106" s="15"/>
      <c r="I106" s="23"/>
      <c r="J106" s="23"/>
      <c r="K106" s="23"/>
      <c r="L106" s="15">
        <v>3</v>
      </c>
      <c r="M106" s="15" t="s">
        <v>328</v>
      </c>
      <c r="N106" s="15">
        <f>-LN(1-N17)</f>
        <v>0.15082288973458366</v>
      </c>
      <c r="O106" s="18">
        <f>LOG10(N106)</f>
        <v>-0.8215327424779075</v>
      </c>
      <c r="P106" s="15"/>
      <c r="Q106" s="15"/>
      <c r="R106" s="15"/>
      <c r="S106" s="15"/>
      <c r="T106" s="15"/>
    </row>
    <row r="107" spans="1:20" ht="12.75">
      <c r="A107" s="15">
        <v>6</v>
      </c>
      <c r="B107" s="15" t="s">
        <v>136</v>
      </c>
      <c r="C107" s="15">
        <f>-LN(1-C18)</f>
        <v>0.040821994520255166</v>
      </c>
      <c r="D107" s="18">
        <f>LOG10(C107)</f>
        <v>-1.3891057799242237</v>
      </c>
      <c r="E107" s="95">
        <f>STDEV(D104:D107)</f>
        <v>0.3451289830206007</v>
      </c>
      <c r="F107" s="18">
        <f>AVERAGE(C104:C107)</f>
        <v>0.038392432153024826</v>
      </c>
      <c r="G107" s="18">
        <f>STDEV(C104:C107)</f>
        <v>0.02134267964095671</v>
      </c>
      <c r="H107" s="18">
        <f>EXP(SQRT(LN(POWER(G107,2)/POWER(F107,2)+1)))</f>
        <v>1.6802309806530509</v>
      </c>
      <c r="I107" s="21">
        <f>LOG10(H107)</f>
        <v>0.22536898811139527</v>
      </c>
      <c r="J107" s="88">
        <f>E107/I107</f>
        <v>1.531395184017113</v>
      </c>
      <c r="K107" s="21"/>
      <c r="L107" s="15">
        <v>5</v>
      </c>
      <c r="M107" s="15" t="s">
        <v>328</v>
      </c>
      <c r="N107" s="15">
        <f>-LN(1-N18)</f>
        <v>0.051293294387550585</v>
      </c>
      <c r="O107" s="18">
        <f>LOG10(N107)</f>
        <v>-1.2899394068342664</v>
      </c>
      <c r="P107" s="15"/>
      <c r="Q107" s="15"/>
      <c r="R107" s="15"/>
      <c r="S107" s="15"/>
      <c r="T107" s="19"/>
    </row>
    <row r="108" spans="1:21" ht="12.75">
      <c r="A108" s="15"/>
      <c r="B108" s="15"/>
      <c r="C108" s="17" t="s">
        <v>327</v>
      </c>
      <c r="D108" s="15"/>
      <c r="E108" s="95"/>
      <c r="F108" s="18"/>
      <c r="G108" s="18"/>
      <c r="H108" s="15"/>
      <c r="I108" s="23"/>
      <c r="J108" s="23"/>
      <c r="K108" s="23"/>
      <c r="L108" s="15">
        <v>6</v>
      </c>
      <c r="M108" s="15" t="s">
        <v>328</v>
      </c>
      <c r="N108" s="15">
        <f>-LN(1-N19)</f>
        <v>0.08338160893905103</v>
      </c>
      <c r="O108" s="18">
        <f>LOG10(N108)</f>
        <v>-1.0789297289433515</v>
      </c>
      <c r="P108" s="20">
        <f>STDEV(O105:O108)</f>
        <v>0.2901417659662574</v>
      </c>
      <c r="Q108" s="18">
        <f>AVERAGE(N105:N108)</f>
        <v>0.13030503164556378</v>
      </c>
      <c r="R108" s="18">
        <f>STDEV(N105:N108)</f>
        <v>0.08160566209582948</v>
      </c>
      <c r="S108" s="18">
        <f>EXP(SQRT(LN(POWER(R108,2)/POWER(Q108,2)+1)))</f>
        <v>1.7775432822431418</v>
      </c>
      <c r="T108" s="21">
        <f>LOG10(S108)</f>
        <v>0.2498201843725536</v>
      </c>
      <c r="U108" s="88">
        <f>P108/T108</f>
        <v>1.1614024170824113</v>
      </c>
    </row>
    <row r="109" spans="1:20" ht="12.75">
      <c r="A109" s="15">
        <v>1</v>
      </c>
      <c r="B109" s="15" t="s">
        <v>136</v>
      </c>
      <c r="C109" s="15">
        <f>-LN(1-C20)</f>
        <v>0.040821994520255166</v>
      </c>
      <c r="D109" s="18">
        <f>LOG10(C109)</f>
        <v>-1.3891057799242237</v>
      </c>
      <c r="E109" s="95"/>
      <c r="F109" s="18"/>
      <c r="G109" s="18"/>
      <c r="H109" s="15"/>
      <c r="I109" s="23"/>
      <c r="J109" s="23"/>
      <c r="K109" s="23"/>
      <c r="L109" s="15"/>
      <c r="M109" s="15"/>
      <c r="N109" s="17" t="s">
        <v>493</v>
      </c>
      <c r="O109" s="15"/>
      <c r="P109" s="22"/>
      <c r="Q109" s="18"/>
      <c r="R109" s="18"/>
      <c r="S109" s="15"/>
      <c r="T109" s="23"/>
    </row>
    <row r="110" spans="1:20" ht="12.75">
      <c r="A110" s="15">
        <v>3</v>
      </c>
      <c r="B110" s="15" t="s">
        <v>136</v>
      </c>
      <c r="C110" s="15">
        <f>-LN(1-C21)</f>
        <v>0.051293294387550585</v>
      </c>
      <c r="D110" s="18">
        <f>LOG10(C110)</f>
        <v>-1.2899394068342664</v>
      </c>
      <c r="E110" s="95"/>
      <c r="F110" s="18"/>
      <c r="G110" s="18"/>
      <c r="H110" s="15"/>
      <c r="I110" s="23"/>
      <c r="J110" s="23"/>
      <c r="K110" s="23"/>
      <c r="L110" s="15">
        <v>1</v>
      </c>
      <c r="M110" s="15" t="s">
        <v>328</v>
      </c>
      <c r="N110" s="15">
        <f>-LN(1-N21)</f>
        <v>0.7133498878774648</v>
      </c>
      <c r="O110" s="18">
        <f>LOG10(N110)</f>
        <v>-0.1466974026829814</v>
      </c>
      <c r="P110" s="22"/>
      <c r="Q110" s="18"/>
      <c r="R110" s="18"/>
      <c r="S110" s="15"/>
      <c r="T110" s="23"/>
    </row>
    <row r="111" spans="1:20" ht="12.75">
      <c r="A111" s="15">
        <v>5</v>
      </c>
      <c r="B111" s="15" t="s">
        <v>136</v>
      </c>
      <c r="C111" s="15">
        <f>-LN(1-C22)</f>
        <v>0.01005033585350145</v>
      </c>
      <c r="D111" s="18">
        <f>LOG10(C111)</f>
        <v>-1.9978194251205788</v>
      </c>
      <c r="E111" s="95"/>
      <c r="F111" s="18"/>
      <c r="G111" s="18"/>
      <c r="H111" s="15"/>
      <c r="I111" s="23"/>
      <c r="J111" s="23"/>
      <c r="K111" s="23"/>
      <c r="L111" s="15">
        <v>3</v>
      </c>
      <c r="M111" s="15" t="s">
        <v>328</v>
      </c>
      <c r="N111" s="15">
        <f>-LN(1-N22)</f>
        <v>0.43078291609245417</v>
      </c>
      <c r="O111" s="18">
        <f>LOG10(N111)</f>
        <v>-0.36574152820110817</v>
      </c>
      <c r="P111" s="22"/>
      <c r="Q111" s="18"/>
      <c r="R111" s="18"/>
      <c r="S111" s="15"/>
      <c r="T111" s="23"/>
    </row>
    <row r="112" spans="1:20" ht="12.75">
      <c r="A112" s="15">
        <v>6</v>
      </c>
      <c r="B112" s="15" t="s">
        <v>136</v>
      </c>
      <c r="C112" s="15">
        <f>-LN(1-C23)</f>
        <v>0.030459207484708574</v>
      </c>
      <c r="D112" s="18">
        <f>LOG10(C112)</f>
        <v>-1.5162814007207743</v>
      </c>
      <c r="E112" s="95">
        <f>STDEV(D109:D112)</f>
        <v>0.313680250859782</v>
      </c>
      <c r="F112" s="18">
        <f>AVERAGE(C109:C112)</f>
        <v>0.03315620806150394</v>
      </c>
      <c r="G112" s="18">
        <f>STDEV(C109:C112)</f>
        <v>0.017596148489877162</v>
      </c>
      <c r="H112" s="18">
        <f>EXP(SQRT(LN(POWER(G112,2)/POWER(F112,2)+1)))</f>
        <v>1.6456619748604813</v>
      </c>
      <c r="I112" s="21">
        <f>LOG10(H112)</f>
        <v>0.21634063432175984</v>
      </c>
      <c r="J112" s="88">
        <f>E112/I112</f>
        <v>1.449936817663438</v>
      </c>
      <c r="K112" s="21"/>
      <c r="L112" s="15">
        <v>5</v>
      </c>
      <c r="M112" s="15" t="s">
        <v>328</v>
      </c>
      <c r="N112" s="15">
        <f>-LN(1-N23)</f>
        <v>0.1625189294977749</v>
      </c>
      <c r="O112" s="18">
        <f>LOG10(N112)</f>
        <v>-0.7890960470073316</v>
      </c>
      <c r="P112" s="22"/>
      <c r="Q112" s="18"/>
      <c r="R112" s="18"/>
      <c r="S112" s="15"/>
      <c r="T112" s="23"/>
    </row>
    <row r="113" spans="1:21" ht="12.75">
      <c r="A113" s="15"/>
      <c r="B113" s="15"/>
      <c r="C113" s="17"/>
      <c r="D113" s="15"/>
      <c r="E113" s="22"/>
      <c r="F113" s="18"/>
      <c r="G113" s="18"/>
      <c r="H113" s="15"/>
      <c r="I113" s="23"/>
      <c r="J113" s="23"/>
      <c r="K113" s="23"/>
      <c r="L113" s="15">
        <v>6</v>
      </c>
      <c r="M113" s="15" t="s">
        <v>328</v>
      </c>
      <c r="N113" s="15">
        <f>-LN(1-N24)</f>
        <v>0.30110509278392167</v>
      </c>
      <c r="O113" s="18">
        <f>LOG10(N113)</f>
        <v>-0.5212818989234742</v>
      </c>
      <c r="P113" s="20">
        <f>STDEV(O110:O113)</f>
        <v>0.2702030356061731</v>
      </c>
      <c r="Q113" s="18">
        <f>AVERAGE(N110:N113)</f>
        <v>0.4019392065629039</v>
      </c>
      <c r="R113" s="18">
        <f>STDEV(N110:N113)</f>
        <v>0.23473258514584916</v>
      </c>
      <c r="S113" s="18">
        <f>EXP(SQRT(LN(POWER(R113,2)/POWER(Q113,2)+1)))</f>
        <v>1.7189561687983517</v>
      </c>
      <c r="T113" s="21">
        <f>LOG10(S113)</f>
        <v>0.23526480286989043</v>
      </c>
      <c r="U113" s="88">
        <f>P113/T113</f>
        <v>1.1485059911643678</v>
      </c>
    </row>
    <row r="114" spans="1:20" ht="15">
      <c r="A114" s="26" t="s">
        <v>127</v>
      </c>
      <c r="B114" s="15" t="s">
        <v>214</v>
      </c>
      <c r="C114" s="16" t="s">
        <v>137</v>
      </c>
      <c r="D114" s="15" t="s">
        <v>340</v>
      </c>
      <c r="E114" s="15" t="s">
        <v>341</v>
      </c>
      <c r="F114" s="15" t="s">
        <v>598</v>
      </c>
      <c r="G114" s="15" t="s">
        <v>170</v>
      </c>
      <c r="H114" s="15" t="s">
        <v>126</v>
      </c>
      <c r="I114" s="23" t="s">
        <v>384</v>
      </c>
      <c r="J114" s="23"/>
      <c r="K114" s="23"/>
      <c r="L114" s="26" t="s">
        <v>127</v>
      </c>
      <c r="M114" s="24" t="s">
        <v>214</v>
      </c>
      <c r="N114" s="16" t="s">
        <v>454</v>
      </c>
      <c r="O114" s="25" t="s">
        <v>340</v>
      </c>
      <c r="P114" s="25" t="s">
        <v>341</v>
      </c>
      <c r="Q114" s="25" t="s">
        <v>598</v>
      </c>
      <c r="R114" s="25" t="s">
        <v>170</v>
      </c>
      <c r="S114" s="25" t="s">
        <v>126</v>
      </c>
      <c r="T114" s="23" t="s">
        <v>384</v>
      </c>
    </row>
    <row r="115" spans="1:20" ht="12.75">
      <c r="A115" s="15"/>
      <c r="B115" s="15"/>
      <c r="C115" s="17" t="s">
        <v>138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7" t="s">
        <v>137</v>
      </c>
      <c r="O115" s="15"/>
      <c r="P115" s="15"/>
      <c r="Q115" s="15"/>
      <c r="R115" s="15"/>
      <c r="S115" s="15"/>
      <c r="T115" s="15"/>
    </row>
    <row r="116" spans="1:20" ht="12.75">
      <c r="A116" s="15">
        <v>1</v>
      </c>
      <c r="B116" s="15" t="s">
        <v>328</v>
      </c>
      <c r="C116" s="15">
        <f>-LN(1-C27)</f>
        <v>0.2613647641344075</v>
      </c>
      <c r="D116" s="18">
        <f>LOG10(C116)</f>
        <v>-0.5827529621780622</v>
      </c>
      <c r="E116" s="15"/>
      <c r="F116" s="15"/>
      <c r="G116" s="15"/>
      <c r="H116" s="15"/>
      <c r="I116" s="15"/>
      <c r="J116" s="15"/>
      <c r="K116" s="15"/>
      <c r="L116" s="15">
        <v>1</v>
      </c>
      <c r="M116" s="15" t="s">
        <v>452</v>
      </c>
      <c r="N116" s="15">
        <f>-LN(1-N27)</f>
        <v>0.7550225842780328</v>
      </c>
      <c r="O116" s="18">
        <f>LOG10(N116)</f>
        <v>-0.12204005753553515</v>
      </c>
      <c r="P116" s="15"/>
      <c r="Q116" s="15"/>
      <c r="R116" s="15"/>
      <c r="S116" s="15"/>
      <c r="T116" s="15"/>
    </row>
    <row r="117" spans="1:20" ht="12.75">
      <c r="A117" s="15">
        <v>3</v>
      </c>
      <c r="B117" s="15" t="s">
        <v>328</v>
      </c>
      <c r="C117" s="15">
        <f>-LN(1-C28)</f>
        <v>0.1743533871447778</v>
      </c>
      <c r="D117" s="18">
        <f>LOG10(C117)</f>
        <v>-0.7585696112131687</v>
      </c>
      <c r="E117" s="15"/>
      <c r="F117" s="15"/>
      <c r="G117" s="15"/>
      <c r="H117" s="15"/>
      <c r="I117" s="15"/>
      <c r="J117" s="15"/>
      <c r="K117" s="15"/>
      <c r="L117" s="15">
        <v>3</v>
      </c>
      <c r="M117" s="15" t="s">
        <v>452</v>
      </c>
      <c r="N117" s="15">
        <f>-LN(1-N28)</f>
        <v>0.4004775665971254</v>
      </c>
      <c r="O117" s="18">
        <f>LOG10(N117)</f>
        <v>-0.3974218066108305</v>
      </c>
      <c r="P117" s="15"/>
      <c r="Q117" s="15"/>
      <c r="R117" s="15"/>
      <c r="S117" s="15"/>
      <c r="T117" s="15"/>
    </row>
    <row r="118" spans="1:20" ht="12.75">
      <c r="A118" s="15">
        <v>5</v>
      </c>
      <c r="B118" s="15" t="s">
        <v>328</v>
      </c>
      <c r="C118" s="15">
        <f>-LN(1-C29)</f>
        <v>0.051293294387550585</v>
      </c>
      <c r="D118" s="18">
        <f>LOG10(C118)</f>
        <v>-1.2899394068342664</v>
      </c>
      <c r="E118" s="15"/>
      <c r="F118" s="15"/>
      <c r="G118" s="15"/>
      <c r="H118" s="15"/>
      <c r="I118" s="19"/>
      <c r="J118" s="19"/>
      <c r="K118" s="19"/>
      <c r="L118" s="15">
        <v>5</v>
      </c>
      <c r="M118" s="15" t="s">
        <v>452</v>
      </c>
      <c r="N118" s="15">
        <f>-LN(1-N29)</f>
        <v>0.27443684570176025</v>
      </c>
      <c r="O118" s="18">
        <f>LOG10(N118)</f>
        <v>-0.5615575809729126</v>
      </c>
      <c r="P118" s="15"/>
      <c r="Q118" s="15"/>
      <c r="R118" s="15"/>
      <c r="S118" s="15"/>
      <c r="T118" s="19"/>
    </row>
    <row r="119" spans="1:21" ht="12.75">
      <c r="A119" s="15">
        <v>6</v>
      </c>
      <c r="B119" s="15" t="s">
        <v>328</v>
      </c>
      <c r="C119" s="15">
        <f>-LN(1-C30)</f>
        <v>0.09431067947124128</v>
      </c>
      <c r="D119" s="18">
        <f>LOG10(C119)</f>
        <v>-1.02543912621473</v>
      </c>
      <c r="E119" s="95">
        <f>STDEV(D116:D119)</f>
        <v>0.3096407592674005</v>
      </c>
      <c r="F119" s="18">
        <f>AVERAGE(C116:C119)</f>
        <v>0.1453305312844943</v>
      </c>
      <c r="G119" s="18">
        <f>STDEV(C116:C119)</f>
        <v>0.09265041204731703</v>
      </c>
      <c r="H119" s="18">
        <f>EXP(SQRT(LN(POWER(G119,2)/POWER(F119,2)+1)))</f>
        <v>1.7931898376027418</v>
      </c>
      <c r="I119" s="21">
        <f>LOG10(H119)</f>
        <v>0.2536262689593364</v>
      </c>
      <c r="J119" s="88">
        <f>E119/I119</f>
        <v>1.2208544506761831</v>
      </c>
      <c r="K119" s="21"/>
      <c r="L119" s="15">
        <v>6</v>
      </c>
      <c r="M119" s="15" t="s">
        <v>452</v>
      </c>
      <c r="N119" s="15">
        <f>-LN(1-N30)</f>
        <v>0.371063681390832</v>
      </c>
      <c r="O119" s="18">
        <f>LOG10(N119)</f>
        <v>-0.4305515510229028</v>
      </c>
      <c r="P119" s="20">
        <f>STDEV(O116:O119)</f>
        <v>0.18470490316078358</v>
      </c>
      <c r="Q119" s="18">
        <f>AVERAGE(N116:N119)</f>
        <v>0.45025016949193764</v>
      </c>
      <c r="R119" s="18">
        <f>STDEV(N116:N119)</f>
        <v>0.2101938482555319</v>
      </c>
      <c r="S119" s="18">
        <f>EXP(SQRT(LN(POWER(R119,2)/POWER(Q119,2)+1)))</f>
        <v>1.558970800876685</v>
      </c>
      <c r="T119" s="21">
        <f>LOG10(S119)</f>
        <v>0.19283798104074193</v>
      </c>
      <c r="U119" s="88">
        <f>P119/T119</f>
        <v>0.9578242945914268</v>
      </c>
    </row>
    <row r="120" spans="1:20" ht="12.75">
      <c r="A120" s="15"/>
      <c r="B120" s="15"/>
      <c r="C120" s="17" t="s">
        <v>325</v>
      </c>
      <c r="D120" s="15"/>
      <c r="E120" s="22"/>
      <c r="F120" s="18"/>
      <c r="G120" s="18"/>
      <c r="H120" s="15"/>
      <c r="I120" s="23"/>
      <c r="J120" s="23"/>
      <c r="K120" s="23"/>
      <c r="L120" s="15"/>
      <c r="M120" s="15"/>
      <c r="N120" s="17" t="s">
        <v>493</v>
      </c>
      <c r="O120" s="15"/>
      <c r="P120" s="22"/>
      <c r="Q120" s="18"/>
      <c r="R120" s="18"/>
      <c r="S120" s="15"/>
      <c r="T120" s="23"/>
    </row>
    <row r="121" spans="1:20" ht="12.75">
      <c r="A121" s="15">
        <v>1</v>
      </c>
      <c r="B121" s="15" t="s">
        <v>328</v>
      </c>
      <c r="C121" s="15">
        <f>-LN(1-C32)</f>
        <v>0.23572233352106983</v>
      </c>
      <c r="D121" s="18">
        <f>LOG10(C121)</f>
        <v>-0.6275992682798079</v>
      </c>
      <c r="E121" s="22"/>
      <c r="F121" s="18"/>
      <c r="G121" s="18"/>
      <c r="H121" s="15"/>
      <c r="I121" s="23"/>
      <c r="J121" s="23"/>
      <c r="K121" s="23"/>
      <c r="L121" s="15">
        <v>1</v>
      </c>
      <c r="M121" s="15" t="s">
        <v>452</v>
      </c>
      <c r="N121" s="15">
        <f>-LN(1-N32)</f>
        <v>1.6094379124341005</v>
      </c>
      <c r="O121" s="18">
        <f>LOG10(N121)</f>
        <v>0.20667422749111897</v>
      </c>
      <c r="P121" s="22"/>
      <c r="Q121" s="18"/>
      <c r="R121" s="18"/>
      <c r="S121" s="15"/>
      <c r="T121" s="23"/>
    </row>
    <row r="122" spans="1:20" ht="12.75">
      <c r="A122" s="15">
        <v>3</v>
      </c>
      <c r="B122" s="15" t="s">
        <v>328</v>
      </c>
      <c r="C122" s="15">
        <f>-LN(1-C33)</f>
        <v>0.15082288973458366</v>
      </c>
      <c r="D122" s="18">
        <f>LOG10(C122)</f>
        <v>-0.8215327424779075</v>
      </c>
      <c r="E122" s="22"/>
      <c r="F122" s="18"/>
      <c r="G122" s="18"/>
      <c r="H122" s="15"/>
      <c r="I122" s="23"/>
      <c r="J122" s="23"/>
      <c r="K122" s="23"/>
      <c r="L122" s="15">
        <v>3</v>
      </c>
      <c r="M122" s="15" t="s">
        <v>452</v>
      </c>
      <c r="N122" s="15">
        <f>-LN(1-N33)</f>
        <v>0.8915981192837835</v>
      </c>
      <c r="O122" s="18">
        <f>LOG10(N122)</f>
        <v>-0.04983085628145476</v>
      </c>
      <c r="P122" s="22"/>
      <c r="Q122" s="18"/>
      <c r="R122" s="18"/>
      <c r="S122" s="15"/>
      <c r="T122" s="23"/>
    </row>
    <row r="123" spans="1:20" ht="12.75">
      <c r="A123" s="15">
        <v>5</v>
      </c>
      <c r="B123" s="15" t="s">
        <v>328</v>
      </c>
      <c r="C123" s="15">
        <f>-LN(1-C34)</f>
        <v>0.051293294387550585</v>
      </c>
      <c r="D123" s="18">
        <f>LOG10(C123)</f>
        <v>-1.2899394068342664</v>
      </c>
      <c r="E123" s="22"/>
      <c r="F123" s="18"/>
      <c r="G123" s="18"/>
      <c r="H123" s="15"/>
      <c r="I123" s="23"/>
      <c r="J123" s="23"/>
      <c r="K123" s="23"/>
      <c r="L123" s="15">
        <v>5</v>
      </c>
      <c r="M123" s="15" t="s">
        <v>452</v>
      </c>
      <c r="N123" s="15">
        <f>-LN(1-N34)</f>
        <v>0.7133498878774648</v>
      </c>
      <c r="O123" s="18">
        <f>LOG10(N123)</f>
        <v>-0.1466974026829814</v>
      </c>
      <c r="P123" s="22"/>
      <c r="Q123" s="18"/>
      <c r="R123" s="18"/>
      <c r="S123" s="15"/>
      <c r="T123" s="23"/>
    </row>
    <row r="124" spans="1:21" ht="12.75">
      <c r="A124" s="15">
        <v>6</v>
      </c>
      <c r="B124" s="15" t="s">
        <v>328</v>
      </c>
      <c r="C124" s="15">
        <f>-LN(1-C35)</f>
        <v>0.08338160893905103</v>
      </c>
      <c r="D124" s="18">
        <f>LOG10(C124)</f>
        <v>-1.0789297289433515</v>
      </c>
      <c r="E124" s="95">
        <f>STDEV(D121:D124)</f>
        <v>0.2901417659662574</v>
      </c>
      <c r="F124" s="18">
        <f>AVERAGE(C121:C124)</f>
        <v>0.13030503164556378</v>
      </c>
      <c r="G124" s="18">
        <f>STDEV(C121:C124)</f>
        <v>0.08160566209582948</v>
      </c>
      <c r="H124" s="18">
        <f>EXP(SQRT(LN(POWER(G124,2)/POWER(F124,2)+1)))</f>
        <v>1.7775432822431418</v>
      </c>
      <c r="I124" s="21">
        <f>LOG10(H124)</f>
        <v>0.2498201843725536</v>
      </c>
      <c r="J124" s="88">
        <f>E124/I124</f>
        <v>1.1614024170824113</v>
      </c>
      <c r="K124" s="21"/>
      <c r="L124" s="15">
        <v>6</v>
      </c>
      <c r="M124" s="15" t="s">
        <v>452</v>
      </c>
      <c r="N124" s="15">
        <f>-LN(1-N35)</f>
        <v>0.9675840262617055</v>
      </c>
      <c r="O124" s="18">
        <f>LOG10(N124)</f>
        <v>-0.014311309970823463</v>
      </c>
      <c r="P124" s="20">
        <f>STDEV(O121:O124)</f>
        <v>0.14935188267585942</v>
      </c>
      <c r="Q124" s="18">
        <f>AVERAGE(N121:N124)</f>
        <v>1.0454924864642636</v>
      </c>
      <c r="R124" s="18">
        <f>STDEV(N121:N124)</f>
        <v>0.39077118355430895</v>
      </c>
      <c r="S124" s="18">
        <f>EXP(SQRT(LN(POWER(R124,2)/POWER(Q124,2)+1)))</f>
        <v>1.435649262462467</v>
      </c>
      <c r="T124" s="21">
        <f>LOG10(S124)</f>
        <v>0.1570483521748197</v>
      </c>
      <c r="U124" s="88">
        <f>P124/T124</f>
        <v>0.9509929942442638</v>
      </c>
    </row>
    <row r="125" spans="1:20" ht="15">
      <c r="A125" s="15"/>
      <c r="B125" s="15"/>
      <c r="C125" s="17" t="s">
        <v>326</v>
      </c>
      <c r="D125" s="15"/>
      <c r="E125" s="95"/>
      <c r="F125" s="18"/>
      <c r="G125" s="18"/>
      <c r="H125" s="15"/>
      <c r="I125" s="23"/>
      <c r="J125" s="23"/>
      <c r="K125" s="23"/>
      <c r="L125" s="26" t="s">
        <v>127</v>
      </c>
      <c r="M125" s="24" t="s">
        <v>214</v>
      </c>
      <c r="N125" s="16" t="s">
        <v>454</v>
      </c>
      <c r="O125" s="25" t="s">
        <v>340</v>
      </c>
      <c r="P125" s="25" t="s">
        <v>341</v>
      </c>
      <c r="Q125" s="25" t="s">
        <v>598</v>
      </c>
      <c r="R125" s="25" t="s">
        <v>170</v>
      </c>
      <c r="S125" s="25" t="s">
        <v>126</v>
      </c>
      <c r="T125" s="23" t="s">
        <v>384</v>
      </c>
    </row>
    <row r="126" spans="1:20" ht="12.75">
      <c r="A126" s="15">
        <v>1</v>
      </c>
      <c r="B126" s="15" t="s">
        <v>328</v>
      </c>
      <c r="C126" s="15">
        <f>-LN(1-C37)</f>
        <v>0.21072103131565253</v>
      </c>
      <c r="D126" s="18">
        <f>LOG10(C126)</f>
        <v>-0.6762921168431828</v>
      </c>
      <c r="E126" s="95"/>
      <c r="F126" s="18"/>
      <c r="G126" s="18"/>
      <c r="H126" s="15"/>
      <c r="I126" s="23"/>
      <c r="J126" s="23"/>
      <c r="K126" s="23"/>
      <c r="L126" s="15"/>
      <c r="M126" s="15"/>
      <c r="N126" s="17" t="s">
        <v>137</v>
      </c>
      <c r="O126" s="15"/>
      <c r="P126" s="15"/>
      <c r="Q126" s="15"/>
      <c r="R126" s="15"/>
      <c r="S126" s="15"/>
      <c r="T126" s="15"/>
    </row>
    <row r="127" spans="1:20" ht="12.75">
      <c r="A127" s="15">
        <v>3</v>
      </c>
      <c r="B127" s="15" t="s">
        <v>328</v>
      </c>
      <c r="C127" s="15">
        <f>-LN(1-C38)</f>
        <v>0.15082288973458366</v>
      </c>
      <c r="D127" s="18">
        <f>LOG10(C127)</f>
        <v>-0.8215327424779075</v>
      </c>
      <c r="E127" s="95"/>
      <c r="F127" s="18"/>
      <c r="G127" s="18"/>
      <c r="H127" s="15"/>
      <c r="I127" s="23"/>
      <c r="J127" s="23"/>
      <c r="K127" s="23"/>
      <c r="L127" s="15">
        <v>1</v>
      </c>
      <c r="M127" s="15" t="s">
        <v>453</v>
      </c>
      <c r="N127" s="15">
        <f>-LN(1-N38)</f>
        <v>0.9675840262617055</v>
      </c>
      <c r="O127" s="18">
        <f>LOG10(N127)</f>
        <v>-0.014311309970823463</v>
      </c>
      <c r="P127" s="15"/>
      <c r="Q127" s="15"/>
      <c r="R127" s="15"/>
      <c r="S127" s="15"/>
      <c r="T127" s="15"/>
    </row>
    <row r="128" spans="1:20" ht="12.75">
      <c r="A128" s="15">
        <v>5</v>
      </c>
      <c r="B128" s="15" t="s">
        <v>328</v>
      </c>
      <c r="C128" s="15">
        <f>-LN(1-C39)</f>
        <v>0.040821994520255166</v>
      </c>
      <c r="D128" s="18">
        <f>LOG10(C128)</f>
        <v>-1.3891057799242237</v>
      </c>
      <c r="E128" s="95"/>
      <c r="F128" s="18"/>
      <c r="G128" s="18"/>
      <c r="H128" s="15"/>
      <c r="I128" s="23"/>
      <c r="J128" s="23"/>
      <c r="K128" s="23"/>
      <c r="L128" s="15">
        <v>3</v>
      </c>
      <c r="M128" s="15" t="s">
        <v>453</v>
      </c>
      <c r="N128" s="15">
        <f>-LN(1-N39)</f>
        <v>0.579818495252942</v>
      </c>
      <c r="O128" s="18">
        <f>LOG10(N128)</f>
        <v>-0.2367079354829482</v>
      </c>
      <c r="P128" s="15"/>
      <c r="Q128" s="15"/>
      <c r="R128" s="15"/>
      <c r="S128" s="15"/>
      <c r="T128" s="15"/>
    </row>
    <row r="129" spans="1:20" ht="12.75">
      <c r="A129" s="15">
        <v>6</v>
      </c>
      <c r="B129" s="15" t="s">
        <v>328</v>
      </c>
      <c r="C129" s="15">
        <f>-LN(1-C40)</f>
        <v>0.08338160893905103</v>
      </c>
      <c r="D129" s="18">
        <f>LOG10(C129)</f>
        <v>-1.0789297289433515</v>
      </c>
      <c r="E129" s="95">
        <f>STDEV(D126:D129)</f>
        <v>0.3130384359210969</v>
      </c>
      <c r="F129" s="18">
        <f>AVERAGE(C126:C129)</f>
        <v>0.1214368811273856</v>
      </c>
      <c r="G129" s="18">
        <f>STDEV(C126:C129)</f>
        <v>0.0747934058160924</v>
      </c>
      <c r="H129" s="18">
        <f>EXP(SQRT(LN(POWER(G129,2)/POWER(F129,2)+1)))</f>
        <v>1.7631475450535408</v>
      </c>
      <c r="I129" s="21">
        <f>LOG10(H129)</f>
        <v>0.2462886567811133</v>
      </c>
      <c r="J129" s="88">
        <f>E129/I129</f>
        <v>1.2710225473327699</v>
      </c>
      <c r="K129" s="21"/>
      <c r="L129" s="15">
        <v>5</v>
      </c>
      <c r="M129" s="15" t="s">
        <v>453</v>
      </c>
      <c r="N129" s="15">
        <f>-LN(1-N40)</f>
        <v>0.4942963218147801</v>
      </c>
      <c r="O129" s="18">
        <f>LOG10(N129)</f>
        <v>-0.3060126212233984</v>
      </c>
      <c r="P129" s="15"/>
      <c r="Q129" s="15"/>
      <c r="R129" s="15"/>
      <c r="S129" s="15"/>
      <c r="T129" s="19"/>
    </row>
    <row r="130" spans="1:21" ht="12.75">
      <c r="A130" s="15"/>
      <c r="B130" s="15"/>
      <c r="C130" s="17" t="s">
        <v>327</v>
      </c>
      <c r="D130" s="15"/>
      <c r="E130" s="22"/>
      <c r="F130" s="18"/>
      <c r="G130" s="18"/>
      <c r="H130" s="15"/>
      <c r="I130" s="23"/>
      <c r="J130" s="23"/>
      <c r="K130" s="23"/>
      <c r="L130" s="15">
        <v>6</v>
      </c>
      <c r="M130" s="15" t="s">
        <v>453</v>
      </c>
      <c r="N130" s="15">
        <f>-LN(1-N41)</f>
        <v>0.7339691750802004</v>
      </c>
      <c r="O130" s="18">
        <f>LOG10(N130)</f>
        <v>-0.1343221790126526</v>
      </c>
      <c r="P130" s="20">
        <f>STDEV(O127:O130)</f>
        <v>0.12705514329544923</v>
      </c>
      <c r="Q130" s="18">
        <f>AVERAGE(N127:N130)</f>
        <v>0.693917004602407</v>
      </c>
      <c r="R130" s="18">
        <f>STDEV(N127:N130)</f>
        <v>0.20765733146718854</v>
      </c>
      <c r="S130" s="18">
        <f>EXP(SQRT(LN(POWER(R130,2)/POWER(Q130,2)+1)))</f>
        <v>1.3402560923741367</v>
      </c>
      <c r="T130" s="21">
        <f>LOG10(S130)</f>
        <v>0.12718779006519026</v>
      </c>
      <c r="U130" s="88">
        <f>P130/T130</f>
        <v>0.9989570793731611</v>
      </c>
    </row>
    <row r="131" spans="1:20" ht="12.75">
      <c r="A131" s="15">
        <v>1</v>
      </c>
      <c r="B131" s="15" t="s">
        <v>328</v>
      </c>
      <c r="C131" s="15">
        <f>-LN(1-C42)</f>
        <v>0.19845093872383818</v>
      </c>
      <c r="D131" s="18">
        <f>LOG10(C131)</f>
        <v>-0.7023468424276733</v>
      </c>
      <c r="E131" s="22"/>
      <c r="F131" s="18"/>
      <c r="G131" s="18"/>
      <c r="H131" s="15"/>
      <c r="I131" s="23"/>
      <c r="J131" s="23"/>
      <c r="K131" s="23"/>
      <c r="L131" s="15"/>
      <c r="M131" s="15"/>
      <c r="N131" s="17" t="s">
        <v>493</v>
      </c>
      <c r="O131" s="15"/>
      <c r="P131" s="22"/>
      <c r="Q131" s="18"/>
      <c r="R131" s="18"/>
      <c r="S131" s="15"/>
      <c r="T131" s="23"/>
    </row>
    <row r="132" spans="1:20" ht="12.75">
      <c r="A132" s="15">
        <v>3</v>
      </c>
      <c r="B132" s="15" t="s">
        <v>328</v>
      </c>
      <c r="C132" s="15">
        <f>-LN(1-C43)</f>
        <v>0.13926206733350766</v>
      </c>
      <c r="D132" s="18">
        <f>LOG10(C132)</f>
        <v>-0.8561671620480555</v>
      </c>
      <c r="E132" s="22"/>
      <c r="F132" s="18"/>
      <c r="G132" s="18"/>
      <c r="H132" s="15"/>
      <c r="I132" s="23"/>
      <c r="J132" s="23"/>
      <c r="K132" s="23"/>
      <c r="L132" s="15">
        <v>1</v>
      </c>
      <c r="M132" s="15" t="s">
        <v>453</v>
      </c>
      <c r="N132" s="15">
        <f>-LN(1-N43)</f>
        <v>1.660731206821651</v>
      </c>
      <c r="O132" s="18">
        <f>LOG10(N132)</f>
        <v>0.22029934657507477</v>
      </c>
      <c r="P132" s="22"/>
      <c r="Q132" s="18"/>
      <c r="R132" s="18"/>
      <c r="S132" s="15"/>
      <c r="T132" s="23"/>
    </row>
    <row r="133" spans="1:20" ht="12.75">
      <c r="A133" s="15">
        <v>5</v>
      </c>
      <c r="B133" s="15" t="s">
        <v>328</v>
      </c>
      <c r="C133" s="15">
        <f>-LN(1-C44)</f>
        <v>0.030459207484708574</v>
      </c>
      <c r="D133" s="18">
        <f>LOG10(C133)</f>
        <v>-1.5162814007207743</v>
      </c>
      <c r="E133" s="22"/>
      <c r="F133" s="18"/>
      <c r="G133" s="18"/>
      <c r="H133" s="15"/>
      <c r="I133" s="23"/>
      <c r="J133" s="23"/>
      <c r="K133" s="23"/>
      <c r="L133" s="15">
        <v>3</v>
      </c>
      <c r="M133" s="15" t="s">
        <v>453</v>
      </c>
      <c r="N133" s="15">
        <f>-LN(1-N44)</f>
        <v>0.867500567704723</v>
      </c>
      <c r="O133" s="18">
        <f>LOG10(N133)</f>
        <v>-0.061730232328503255</v>
      </c>
      <c r="P133" s="22"/>
      <c r="Q133" s="18"/>
      <c r="R133" s="18"/>
      <c r="S133" s="15"/>
      <c r="T133" s="23"/>
    </row>
    <row r="134" spans="1:20" ht="12.75">
      <c r="A134" s="15">
        <v>6</v>
      </c>
      <c r="B134" s="15" t="s">
        <v>328</v>
      </c>
      <c r="C134" s="15">
        <f>-LN(1-C45)</f>
        <v>0.0725706928348355</v>
      </c>
      <c r="D134" s="18">
        <f>LOG10(C134)</f>
        <v>-1.1392387306746987</v>
      </c>
      <c r="E134" s="95">
        <f>STDEV(D131:D134)</f>
        <v>0.3576621047425721</v>
      </c>
      <c r="F134" s="18">
        <f>AVERAGE(C131:C134)</f>
        <v>0.11018572659422249</v>
      </c>
      <c r="G134" s="18">
        <f>STDEV(C131:C134)</f>
        <v>0.073953566236102</v>
      </c>
      <c r="H134" s="18">
        <f>EXP(SQRT(LN(POWER(G134,2)/POWER(F134,2)+1)))</f>
        <v>1.8401128514121423</v>
      </c>
      <c r="I134" s="21">
        <f>LOG10(H134)</f>
        <v>0.26484445846750343</v>
      </c>
      <c r="J134" s="88">
        <f>E134/I134</f>
        <v>1.3504609717422404</v>
      </c>
      <c r="K134" s="21"/>
      <c r="L134" s="15">
        <v>5</v>
      </c>
      <c r="M134" s="15" t="s">
        <v>453</v>
      </c>
      <c r="N134" s="15">
        <f>-LN(1-N45)</f>
        <v>1.0498221244986778</v>
      </c>
      <c r="O134" s="18">
        <f>LOG10(N134)</f>
        <v>0.0211157210768562</v>
      </c>
      <c r="P134" s="22"/>
      <c r="Q134" s="18"/>
      <c r="R134" s="18"/>
      <c r="S134" s="15"/>
      <c r="T134" s="23"/>
    </row>
    <row r="135" spans="12:21" ht="12.75">
      <c r="L135" s="15">
        <v>6</v>
      </c>
      <c r="M135" s="15" t="s">
        <v>453</v>
      </c>
      <c r="N135" s="15">
        <f>-LN(1-N46)</f>
        <v>1.203972804325936</v>
      </c>
      <c r="O135" s="18">
        <f>LOG10(N135)</f>
        <v>0.08061667706751091</v>
      </c>
      <c r="P135" s="20">
        <f>STDEV(O132:O135)</f>
        <v>0.11881095157782712</v>
      </c>
      <c r="Q135" s="18">
        <f>AVERAGE(N132:N135)</f>
        <v>1.195506675837747</v>
      </c>
      <c r="R135" s="18">
        <f>STDEV(N132:N135)</f>
        <v>0.3392725232180414</v>
      </c>
      <c r="S135" s="18">
        <f>EXP(SQRT(LN(POWER(R135,2)/POWER(Q135,2)+1)))</f>
        <v>1.3208987589740329</v>
      </c>
      <c r="T135" s="21">
        <f>LOG10(S135)</f>
        <v>0.12086953214604217</v>
      </c>
      <c r="U135" s="88">
        <f>P135/T135</f>
        <v>0.9829685733727526</v>
      </c>
    </row>
    <row r="136" spans="1:11" ht="15">
      <c r="A136" s="26" t="s">
        <v>127</v>
      </c>
      <c r="B136" s="24" t="s">
        <v>214</v>
      </c>
      <c r="C136" s="16" t="s">
        <v>137</v>
      </c>
      <c r="D136" s="25" t="s">
        <v>340</v>
      </c>
      <c r="E136" s="25" t="s">
        <v>341</v>
      </c>
      <c r="F136" s="25" t="s">
        <v>598</v>
      </c>
      <c r="G136" s="25" t="s">
        <v>170</v>
      </c>
      <c r="H136" s="25" t="s">
        <v>126</v>
      </c>
      <c r="I136" s="23" t="s">
        <v>384</v>
      </c>
      <c r="J136" s="23"/>
      <c r="K136" s="23"/>
    </row>
    <row r="137" spans="1:11" ht="12.75">
      <c r="A137" s="15"/>
      <c r="B137" s="15"/>
      <c r="C137" s="17" t="s">
        <v>138</v>
      </c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s="15">
        <v>1</v>
      </c>
      <c r="B138" s="15" t="s">
        <v>452</v>
      </c>
      <c r="C138" s="15">
        <f>-LN(1-C49)</f>
        <v>0.994252273343867</v>
      </c>
      <c r="D138" s="18">
        <f>LOG10(C138)</f>
        <v>-0.002503407332609969</v>
      </c>
      <c r="E138" s="15"/>
      <c r="F138" s="15"/>
      <c r="G138" s="15"/>
      <c r="H138" s="15"/>
      <c r="I138" s="15"/>
      <c r="J138" s="15"/>
      <c r="K138" s="15"/>
    </row>
    <row r="139" spans="1:11" ht="12.75">
      <c r="A139" s="15">
        <v>3</v>
      </c>
      <c r="B139" s="15" t="s">
        <v>452</v>
      </c>
      <c r="C139" s="15">
        <f>-LN(1-C50)</f>
        <v>0.4780358009429998</v>
      </c>
      <c r="D139" s="18">
        <f>LOG10(C139)</f>
        <v>-0.32053957709130587</v>
      </c>
      <c r="E139" s="15"/>
      <c r="F139" s="15"/>
      <c r="G139" s="15"/>
      <c r="H139" s="15"/>
      <c r="I139" s="15"/>
      <c r="J139" s="15"/>
      <c r="K139" s="15"/>
    </row>
    <row r="140" spans="1:11" ht="12.75">
      <c r="A140" s="15">
        <v>5</v>
      </c>
      <c r="B140" s="15" t="s">
        <v>452</v>
      </c>
      <c r="C140" s="15">
        <f>-LN(1-C51)</f>
        <v>0.3566749439387324</v>
      </c>
      <c r="D140" s="18">
        <f>LOG10(C140)</f>
        <v>-0.44772739834696257</v>
      </c>
      <c r="E140" s="15"/>
      <c r="F140" s="15"/>
      <c r="G140" s="15"/>
      <c r="H140" s="15"/>
      <c r="I140" s="19"/>
      <c r="J140" s="19"/>
      <c r="K140" s="19"/>
    </row>
    <row r="141" spans="1:11" ht="12.75">
      <c r="A141" s="15">
        <v>6</v>
      </c>
      <c r="B141" s="15" t="s">
        <v>452</v>
      </c>
      <c r="C141" s="15">
        <f>-LN(1-C52)</f>
        <v>0.44628710262841953</v>
      </c>
      <c r="D141" s="18">
        <f>LOG10(C141)</f>
        <v>-0.350385663771713</v>
      </c>
      <c r="E141" s="95">
        <f>STDEV(D138:D141)</f>
        <v>0.19298886320431075</v>
      </c>
      <c r="F141" s="18">
        <f>AVERAGE(C138:C141)</f>
        <v>0.5688125302135046</v>
      </c>
      <c r="G141" s="18">
        <f>STDEV(C138:C141)</f>
        <v>0.28824423991196185</v>
      </c>
      <c r="H141" s="18">
        <f>EXP(SQRT(LN(POWER(G141,2)/POWER(F141,2)+1)))</f>
        <v>1.612978987096562</v>
      </c>
      <c r="I141" s="21">
        <f>LOG10(H141)</f>
        <v>0.2076287097030011</v>
      </c>
      <c r="J141" s="88">
        <f>E141/I141</f>
        <v>0.9294902592245954</v>
      </c>
      <c r="K141" s="21"/>
    </row>
    <row r="142" spans="1:11" ht="12.75">
      <c r="A142" s="15"/>
      <c r="B142" s="15"/>
      <c r="C142" s="17" t="s">
        <v>325</v>
      </c>
      <c r="D142" s="15"/>
      <c r="E142" s="22"/>
      <c r="F142" s="18"/>
      <c r="G142" s="18"/>
      <c r="H142" s="15"/>
      <c r="I142" s="23"/>
      <c r="J142" s="23"/>
      <c r="K142" s="23"/>
    </row>
    <row r="143" spans="1:11" ht="12.75">
      <c r="A143" s="15">
        <v>1</v>
      </c>
      <c r="B143" s="15" t="s">
        <v>452</v>
      </c>
      <c r="C143" s="15">
        <f>-LN(1-C54)</f>
        <v>0.7550225842780328</v>
      </c>
      <c r="D143" s="18">
        <f>LOG10(C143)</f>
        <v>-0.12204005753553515</v>
      </c>
      <c r="E143" s="22"/>
      <c r="F143" s="18"/>
      <c r="G143" s="18"/>
      <c r="H143" s="15"/>
      <c r="I143" s="23"/>
      <c r="J143" s="23"/>
      <c r="K143" s="23"/>
    </row>
    <row r="144" spans="1:11" ht="12.75">
      <c r="A144" s="15">
        <v>3</v>
      </c>
      <c r="B144" s="15" t="s">
        <v>452</v>
      </c>
      <c r="C144" s="15">
        <f>-LN(1-C55)</f>
        <v>0.4004775665971254</v>
      </c>
      <c r="D144" s="18">
        <f>LOG10(C144)</f>
        <v>-0.3974218066108305</v>
      </c>
      <c r="E144" s="22"/>
      <c r="F144" s="18"/>
      <c r="G144" s="18"/>
      <c r="H144" s="15"/>
      <c r="I144" s="23"/>
      <c r="J144" s="23"/>
      <c r="K144" s="23"/>
    </row>
    <row r="145" spans="1:11" ht="12.75">
      <c r="A145" s="15">
        <v>5</v>
      </c>
      <c r="B145" s="15" t="s">
        <v>452</v>
      </c>
      <c r="C145" s="15">
        <f>-LN(1-C56)</f>
        <v>0.27443684570176025</v>
      </c>
      <c r="D145" s="18">
        <f>LOG10(C145)</f>
        <v>-0.5615575809729126</v>
      </c>
      <c r="E145" s="22"/>
      <c r="F145" s="18"/>
      <c r="G145" s="18"/>
      <c r="H145" s="15"/>
      <c r="I145" s="23"/>
      <c r="J145" s="23"/>
      <c r="K145" s="23"/>
    </row>
    <row r="146" spans="1:11" ht="12.75">
      <c r="A146" s="15">
        <v>6</v>
      </c>
      <c r="B146" s="15" t="s">
        <v>452</v>
      </c>
      <c r="C146" s="15">
        <f>-LN(1-C57)</f>
        <v>0.371063681390832</v>
      </c>
      <c r="D146" s="18">
        <f>LOG10(C146)</f>
        <v>-0.4305515510229028</v>
      </c>
      <c r="E146" s="95">
        <f>STDEV(D143:D146)</f>
        <v>0.18470490316078358</v>
      </c>
      <c r="F146" s="18">
        <f>AVERAGE(C143:C146)</f>
        <v>0.45025016949193764</v>
      </c>
      <c r="G146" s="18">
        <f>STDEV(C143:C146)</f>
        <v>0.2101938482555319</v>
      </c>
      <c r="H146" s="18">
        <f>EXP(SQRT(LN(POWER(G146,2)/POWER(F146,2)+1)))</f>
        <v>1.558970800876685</v>
      </c>
      <c r="I146" s="21">
        <f>LOG10(H146)</f>
        <v>0.19283798104074193</v>
      </c>
      <c r="J146" s="88">
        <f>E146/I146</f>
        <v>0.9578242945914268</v>
      </c>
      <c r="K146" s="21"/>
    </row>
    <row r="147" spans="1:11" ht="12.75">
      <c r="A147" s="15"/>
      <c r="B147" s="15"/>
      <c r="C147" s="17" t="s">
        <v>326</v>
      </c>
      <c r="D147" s="15"/>
      <c r="E147" s="22"/>
      <c r="F147" s="18"/>
      <c r="G147" s="18"/>
      <c r="H147" s="15"/>
      <c r="I147" s="23"/>
      <c r="J147" s="23"/>
      <c r="K147" s="88"/>
    </row>
    <row r="148" spans="1:11" ht="12.75">
      <c r="A148" s="15">
        <v>1</v>
      </c>
      <c r="B148" s="15" t="s">
        <v>452</v>
      </c>
      <c r="C148" s="15">
        <f>-LN(1-C59)</f>
        <v>0.6539264674066639</v>
      </c>
      <c r="D148" s="18">
        <f>LOG10(C148)</f>
        <v>-0.18447108438973517</v>
      </c>
      <c r="E148" s="22"/>
      <c r="F148" s="18"/>
      <c r="G148" s="18"/>
      <c r="H148" s="15"/>
      <c r="I148" s="23"/>
      <c r="J148" s="23"/>
      <c r="K148" s="23"/>
    </row>
    <row r="149" spans="1:11" ht="12.75">
      <c r="A149" s="15">
        <v>3</v>
      </c>
      <c r="B149" s="15" t="s">
        <v>452</v>
      </c>
      <c r="C149" s="15">
        <f>-LN(1-C60)</f>
        <v>0.3566749439387324</v>
      </c>
      <c r="D149" s="18">
        <f>LOG10(C149)</f>
        <v>-0.44772739834696257</v>
      </c>
      <c r="E149" s="22"/>
      <c r="F149" s="18"/>
      <c r="G149" s="18"/>
      <c r="H149" s="15"/>
      <c r="I149" s="23"/>
      <c r="J149" s="23"/>
      <c r="K149" s="23"/>
    </row>
    <row r="150" spans="1:11" ht="12.75">
      <c r="A150" s="15">
        <v>5</v>
      </c>
      <c r="B150" s="15" t="s">
        <v>452</v>
      </c>
      <c r="C150" s="15">
        <f>-LN(1-C61)</f>
        <v>0.23572233352106983</v>
      </c>
      <c r="D150" s="18">
        <f>LOG10(C150)</f>
        <v>-0.6275992682798079</v>
      </c>
      <c r="E150" s="22"/>
      <c r="F150" s="18"/>
      <c r="G150" s="18"/>
      <c r="H150" s="15"/>
      <c r="I150" s="23"/>
      <c r="J150" s="23"/>
      <c r="K150" s="23"/>
    </row>
    <row r="151" spans="1:11" ht="12.75">
      <c r="A151" s="15">
        <v>6</v>
      </c>
      <c r="B151" s="15" t="s">
        <v>452</v>
      </c>
      <c r="C151" s="15">
        <f>-LN(1-C62)</f>
        <v>0.342490308946776</v>
      </c>
      <c r="D151" s="18">
        <f>LOG10(C151)</f>
        <v>-0.46535171272771275</v>
      </c>
      <c r="E151" s="95">
        <f>STDEV(D148:D151)</f>
        <v>0.18338238212924518</v>
      </c>
      <c r="F151" s="18">
        <f>AVERAGE(C148:C151)</f>
        <v>0.3972035134533105</v>
      </c>
      <c r="G151" s="18">
        <f>STDEV(C148:C151)</f>
        <v>0.17946118080996065</v>
      </c>
      <c r="H151" s="18">
        <f>EXP(SQRT(LN(POWER(G151,2)/POWER(F151,2)+1)))</f>
        <v>1.538794575791426</v>
      </c>
      <c r="I151" s="21">
        <f>LOG10(H151)</f>
        <v>0.18718064676136728</v>
      </c>
      <c r="J151" s="88">
        <f>E151/I151</f>
        <v>0.9797080269897538</v>
      </c>
      <c r="K151" s="21"/>
    </row>
    <row r="152" spans="1:11" ht="12.75">
      <c r="A152" s="15"/>
      <c r="B152" s="15"/>
      <c r="C152" s="17" t="s">
        <v>327</v>
      </c>
      <c r="D152" s="15"/>
      <c r="E152" s="22"/>
      <c r="F152" s="18"/>
      <c r="G152" s="18"/>
      <c r="H152" s="15"/>
      <c r="I152" s="23"/>
      <c r="J152" s="23"/>
      <c r="K152" s="23"/>
    </row>
    <row r="153" spans="1:11" ht="12.75">
      <c r="A153" s="15">
        <v>1</v>
      </c>
      <c r="B153" s="15" t="s">
        <v>452</v>
      </c>
      <c r="C153" s="15">
        <f>-LN(1-C64)</f>
        <v>0.616186139423817</v>
      </c>
      <c r="D153" s="18">
        <f>LOG10(C153)</f>
        <v>-0.21028807498930588</v>
      </c>
      <c r="E153" s="22"/>
      <c r="F153" s="18"/>
      <c r="G153" s="18"/>
      <c r="H153" s="15"/>
      <c r="I153" s="23"/>
      <c r="J153" s="23"/>
      <c r="K153" s="23"/>
    </row>
    <row r="154" spans="1:11" ht="12.75">
      <c r="A154" s="15">
        <v>3</v>
      </c>
      <c r="B154" s="15" t="s">
        <v>452</v>
      </c>
      <c r="C154" s="15">
        <f>-LN(1-C65)</f>
        <v>0.32850406697203605</v>
      </c>
      <c r="D154" s="18">
        <f>LOG10(C154)</f>
        <v>-0.4834592493840182</v>
      </c>
      <c r="E154" s="22"/>
      <c r="F154" s="18"/>
      <c r="G154" s="18"/>
      <c r="H154" s="15"/>
      <c r="I154" s="23"/>
      <c r="J154" s="23"/>
      <c r="K154" s="23"/>
    </row>
    <row r="155" spans="1:11" ht="12.75">
      <c r="A155" s="15">
        <v>5</v>
      </c>
      <c r="B155" s="15" t="s">
        <v>452</v>
      </c>
      <c r="C155" s="15">
        <f>-LN(1-C66)</f>
        <v>0.21072103131565253</v>
      </c>
      <c r="D155" s="18">
        <f>LOG10(C155)</f>
        <v>-0.6762921168431828</v>
      </c>
      <c r="E155" s="22"/>
      <c r="F155" s="18"/>
      <c r="G155" s="18"/>
      <c r="H155" s="15"/>
      <c r="I155" s="23"/>
      <c r="J155" s="23"/>
      <c r="K155" s="23"/>
    </row>
    <row r="156" spans="1:11" ht="12.75">
      <c r="A156" s="15">
        <v>6</v>
      </c>
      <c r="B156" s="15" t="s">
        <v>452</v>
      </c>
      <c r="C156" s="15">
        <f>-LN(1-C67)</f>
        <v>0.32850406697203605</v>
      </c>
      <c r="D156" s="18">
        <f>LOG10(C156)</f>
        <v>-0.4834592493840182</v>
      </c>
      <c r="E156" s="95">
        <f>STDEV(D153:D156)</f>
        <v>0.19165371933289177</v>
      </c>
      <c r="F156" s="18">
        <f>AVERAGE(C153:C156)</f>
        <v>0.3709788261708854</v>
      </c>
      <c r="G156" s="18">
        <f>STDEV(C153:C156)</f>
        <v>0.1726435611528211</v>
      </c>
      <c r="H156" s="18">
        <f>EXP(SQRT(LN(POWER(G156,2)/POWER(F156,2)+1)))</f>
        <v>1.5569999105593086</v>
      </c>
      <c r="I156" s="21">
        <f>LOG10(H156)</f>
        <v>0.1922885876204004</v>
      </c>
      <c r="J156" s="88">
        <f>E156/I156</f>
        <v>0.996698356905289</v>
      </c>
      <c r="K156" s="21"/>
    </row>
    <row r="158" spans="1:11" ht="15">
      <c r="A158" s="26" t="s">
        <v>127</v>
      </c>
      <c r="B158" s="24" t="s">
        <v>214</v>
      </c>
      <c r="C158" s="16" t="s">
        <v>137</v>
      </c>
      <c r="D158" s="25" t="s">
        <v>340</v>
      </c>
      <c r="E158" s="25" t="s">
        <v>341</v>
      </c>
      <c r="F158" s="25" t="s">
        <v>598</v>
      </c>
      <c r="G158" s="25" t="s">
        <v>170</v>
      </c>
      <c r="H158" s="25" t="s">
        <v>126</v>
      </c>
      <c r="I158" s="23" t="s">
        <v>384</v>
      </c>
      <c r="J158" s="23"/>
      <c r="K158" s="23"/>
    </row>
    <row r="159" spans="1:11" ht="12.75">
      <c r="A159" s="15"/>
      <c r="B159" s="15"/>
      <c r="C159" s="17" t="s">
        <v>138</v>
      </c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5">
        <v>1</v>
      </c>
      <c r="B160" s="15" t="s">
        <v>453</v>
      </c>
      <c r="C160" s="15">
        <f>-LN(1-C71)</f>
        <v>1.203972804325936</v>
      </c>
      <c r="D160" s="18">
        <f>LOG10(C160)</f>
        <v>0.08061667706751091</v>
      </c>
      <c r="E160" s="15"/>
      <c r="F160" s="15"/>
      <c r="G160" s="15"/>
      <c r="H160" s="15"/>
      <c r="I160" s="15"/>
      <c r="J160" s="15"/>
      <c r="K160" s="15"/>
    </row>
    <row r="161" spans="1:11" ht="12.75">
      <c r="A161" s="15">
        <v>3</v>
      </c>
      <c r="B161" s="15" t="s">
        <v>453</v>
      </c>
      <c r="C161" s="15">
        <f>-LN(1-C72)</f>
        <v>0.7133498878774648</v>
      </c>
      <c r="D161" s="18">
        <f>LOG10(C161)</f>
        <v>-0.1466974026829814</v>
      </c>
      <c r="E161" s="15"/>
      <c r="F161" s="15"/>
      <c r="G161" s="15"/>
      <c r="H161" s="15"/>
      <c r="I161" s="15"/>
      <c r="J161" s="15"/>
      <c r="K161" s="15"/>
    </row>
    <row r="162" spans="1:11" ht="12.75">
      <c r="A162" s="15">
        <v>5</v>
      </c>
      <c r="B162" s="15" t="s">
        <v>453</v>
      </c>
      <c r="C162" s="15">
        <f>-LN(1-C73)</f>
        <v>0.616186139423817</v>
      </c>
      <c r="D162" s="18">
        <f>LOG10(C162)</f>
        <v>-0.21028807498930588</v>
      </c>
      <c r="E162" s="15"/>
      <c r="F162" s="15"/>
      <c r="G162" s="15"/>
      <c r="H162" s="15"/>
      <c r="I162" s="19"/>
      <c r="J162" s="19"/>
      <c r="K162" s="19"/>
    </row>
    <row r="163" spans="1:11" ht="12.75">
      <c r="A163" s="15">
        <v>6</v>
      </c>
      <c r="B163" s="15" t="s">
        <v>453</v>
      </c>
      <c r="C163" s="15">
        <f>-LN(1-C74)</f>
        <v>0.867500567704723</v>
      </c>
      <c r="D163" s="18">
        <f>LOG10(C163)</f>
        <v>-0.061730232328503255</v>
      </c>
      <c r="E163" s="95">
        <f>STDEV(D160:D163)</f>
        <v>0.12579498350328383</v>
      </c>
      <c r="F163" s="18">
        <f>AVERAGE(C160:C163)</f>
        <v>0.8502523498329851</v>
      </c>
      <c r="G163" s="18">
        <f>STDEV(C160:C163)</f>
        <v>0.25751694823916726</v>
      </c>
      <c r="H163" s="18">
        <f>EXP(SQRT(LN(POWER(G163,2)/POWER(F163,2)+1)))</f>
        <v>1.3448072548972596</v>
      </c>
      <c r="I163" s="21">
        <f>LOG10(H163)</f>
        <v>0.12866004334734843</v>
      </c>
      <c r="J163" s="88">
        <f>E163/I163</f>
        <v>0.9777315492088737</v>
      </c>
      <c r="K163" s="21"/>
    </row>
    <row r="164" spans="1:11" ht="12.75">
      <c r="A164" s="15"/>
      <c r="B164" s="15"/>
      <c r="C164" s="17" t="s">
        <v>325</v>
      </c>
      <c r="D164" s="15"/>
      <c r="E164" s="95"/>
      <c r="F164" s="18"/>
      <c r="G164" s="18"/>
      <c r="H164" s="15"/>
      <c r="I164" s="23"/>
      <c r="J164" s="23"/>
      <c r="K164" s="23"/>
    </row>
    <row r="165" spans="1:11" ht="12.75">
      <c r="A165" s="15">
        <v>1</v>
      </c>
      <c r="B165" s="15" t="s">
        <v>453</v>
      </c>
      <c r="C165" s="15">
        <f>-LN(1-C76)</f>
        <v>0.9675840262617055</v>
      </c>
      <c r="D165" s="18">
        <f>LOG10(C165)</f>
        <v>-0.014311309970823463</v>
      </c>
      <c r="E165" s="95"/>
      <c r="F165" s="18"/>
      <c r="G165" s="18"/>
      <c r="H165" s="15"/>
      <c r="I165" s="23"/>
      <c r="J165" s="23"/>
      <c r="K165" s="23"/>
    </row>
    <row r="166" spans="1:11" ht="12.75">
      <c r="A166" s="15">
        <v>3</v>
      </c>
      <c r="B166" s="15" t="s">
        <v>453</v>
      </c>
      <c r="C166" s="15">
        <f>-LN(1-C77)</f>
        <v>0.579818495252942</v>
      </c>
      <c r="D166" s="18">
        <f>LOG10(C166)</f>
        <v>-0.2367079354829482</v>
      </c>
      <c r="E166" s="95"/>
      <c r="F166" s="18"/>
      <c r="G166" s="18"/>
      <c r="H166" s="15"/>
      <c r="I166" s="23"/>
      <c r="J166" s="23"/>
      <c r="K166" s="23"/>
    </row>
    <row r="167" spans="1:11" ht="12.75">
      <c r="A167" s="15">
        <v>5</v>
      </c>
      <c r="B167" s="15" t="s">
        <v>453</v>
      </c>
      <c r="C167" s="15">
        <f>-LN(1-C78)</f>
        <v>0.4942963218147801</v>
      </c>
      <c r="D167" s="18">
        <f>LOG10(C167)</f>
        <v>-0.3060126212233984</v>
      </c>
      <c r="E167" s="95"/>
      <c r="F167" s="18"/>
      <c r="G167" s="18"/>
      <c r="H167" s="15"/>
      <c r="I167" s="23"/>
      <c r="J167" s="23"/>
      <c r="K167" s="23"/>
    </row>
    <row r="168" spans="1:11" ht="12.75">
      <c r="A168" s="15">
        <v>6</v>
      </c>
      <c r="B168" s="15" t="s">
        <v>453</v>
      </c>
      <c r="C168" s="15">
        <f>-LN(1-C79)</f>
        <v>0.7339691750802004</v>
      </c>
      <c r="D168" s="18">
        <f>LOG10(C168)</f>
        <v>-0.1343221790126526</v>
      </c>
      <c r="E168" s="95">
        <f>STDEV(D165:D168)</f>
        <v>0.12705514329544923</v>
      </c>
      <c r="F168" s="18">
        <f>AVERAGE(C165:C168)</f>
        <v>0.693917004602407</v>
      </c>
      <c r="G168" s="18">
        <f>STDEV(C165:C168)</f>
        <v>0.20765733146718854</v>
      </c>
      <c r="H168" s="18">
        <f>EXP(SQRT(LN(POWER(G168,2)/POWER(F168,2)+1)))</f>
        <v>1.3402560923741367</v>
      </c>
      <c r="I168" s="21">
        <f>LOG10(H168)</f>
        <v>0.12718779006519026</v>
      </c>
      <c r="J168" s="88">
        <f>E168/I168</f>
        <v>0.9989570793731611</v>
      </c>
      <c r="K168" s="21"/>
    </row>
    <row r="169" spans="1:11" ht="12.75">
      <c r="A169" s="15"/>
      <c r="B169" s="15"/>
      <c r="C169" s="17" t="s">
        <v>326</v>
      </c>
      <c r="D169" s="15"/>
      <c r="E169" s="95"/>
      <c r="F169" s="18"/>
      <c r="G169" s="18"/>
      <c r="H169" s="15"/>
      <c r="I169" s="23"/>
      <c r="J169" s="23"/>
      <c r="K169" s="23"/>
    </row>
    <row r="170" spans="1:11" ht="12.75">
      <c r="A170" s="15">
        <v>1</v>
      </c>
      <c r="B170" s="15" t="s">
        <v>453</v>
      </c>
      <c r="C170" s="15">
        <f>-LN(1-C81)</f>
        <v>0.8915981192837835</v>
      </c>
      <c r="D170" s="18">
        <f>LOG10(C170)</f>
        <v>-0.04983085628145476</v>
      </c>
      <c r="E170" s="95"/>
      <c r="F170" s="18"/>
      <c r="G170" s="18"/>
      <c r="H170" s="15"/>
      <c r="I170" s="23"/>
      <c r="J170" s="23"/>
      <c r="K170" s="23"/>
    </row>
    <row r="171" spans="1:11" ht="12.75">
      <c r="A171" s="15">
        <v>3</v>
      </c>
      <c r="B171" s="15" t="s">
        <v>453</v>
      </c>
      <c r="C171" s="15">
        <f>-LN(1-C82)</f>
        <v>0.5447271754416719</v>
      </c>
      <c r="D171" s="18">
        <f>LOG10(C171)</f>
        <v>-0.26382095802967165</v>
      </c>
      <c r="E171" s="95"/>
      <c r="F171" s="18"/>
      <c r="G171" s="18"/>
      <c r="H171" s="15"/>
      <c r="I171" s="23"/>
      <c r="J171" s="23"/>
      <c r="K171" s="23"/>
    </row>
    <row r="172" spans="1:11" ht="12.75">
      <c r="A172" s="15">
        <v>5</v>
      </c>
      <c r="B172" s="15" t="s">
        <v>453</v>
      </c>
      <c r="C172" s="15">
        <f>-LN(1-C83)</f>
        <v>0.4620354595965587</v>
      </c>
      <c r="D172" s="18">
        <f>LOG10(C172)</f>
        <v>-0.33532469259072195</v>
      </c>
      <c r="E172" s="95"/>
      <c r="F172" s="18"/>
      <c r="G172" s="18"/>
      <c r="H172" s="15"/>
      <c r="I172" s="23"/>
      <c r="J172" s="23"/>
      <c r="K172" s="23"/>
    </row>
    <row r="173" spans="1:11" ht="12.75">
      <c r="A173" s="15">
        <v>6</v>
      </c>
      <c r="B173" s="15" t="s">
        <v>453</v>
      </c>
      <c r="C173" s="15">
        <f>-LN(1-C84)</f>
        <v>0.6733445532637656</v>
      </c>
      <c r="D173" s="18">
        <f>LOG10(C173)</f>
        <v>-0.17176264857015267</v>
      </c>
      <c r="E173" s="95">
        <f>STDEV(D170:D173)</f>
        <v>0.12332406997704506</v>
      </c>
      <c r="F173" s="18">
        <f>AVERAGE(C170:C173)</f>
        <v>0.6429263268964449</v>
      </c>
      <c r="G173" s="18">
        <f>STDEV(C170:C173)</f>
        <v>0.18719642806724704</v>
      </c>
      <c r="H173" s="18">
        <f>EXP(SQRT(LN(POWER(G173,2)/POWER(F173,2)+1)))</f>
        <v>1.3301082910809159</v>
      </c>
      <c r="I173" s="21">
        <f>LOG10(H173)</f>
        <v>0.12388700059440981</v>
      </c>
      <c r="J173" s="88">
        <f>E173/I173</f>
        <v>0.9954560961629242</v>
      </c>
      <c r="K173" s="21"/>
    </row>
    <row r="174" spans="1:11" ht="12.75">
      <c r="A174" s="15"/>
      <c r="B174" s="15"/>
      <c r="C174" s="17" t="s">
        <v>327</v>
      </c>
      <c r="D174" s="15"/>
      <c r="E174" s="95"/>
      <c r="F174" s="18"/>
      <c r="G174" s="18"/>
      <c r="H174" s="15"/>
      <c r="I174" s="23"/>
      <c r="J174" s="23"/>
      <c r="K174" s="23"/>
    </row>
    <row r="175" spans="1:11" ht="12.75">
      <c r="A175" s="15">
        <v>1</v>
      </c>
      <c r="B175" s="15" t="s">
        <v>453</v>
      </c>
      <c r="C175" s="15">
        <f>-LN(1-C86)</f>
        <v>0.8439700702945289</v>
      </c>
      <c r="D175" s="18">
        <f>LOG10(C175)</f>
        <v>-0.07367295448383286</v>
      </c>
      <c r="E175" s="95"/>
      <c r="F175" s="18"/>
      <c r="G175" s="18"/>
      <c r="H175" s="15"/>
      <c r="I175" s="23"/>
      <c r="J175" s="23"/>
      <c r="K175" s="23"/>
    </row>
    <row r="176" spans="1:11" ht="12.75">
      <c r="A176" s="15">
        <v>3</v>
      </c>
      <c r="B176" s="15" t="s">
        <v>453</v>
      </c>
      <c r="C176" s="15">
        <f>-LN(1-C87)</f>
        <v>0.5276327420823718</v>
      </c>
      <c r="D176" s="18">
        <f>LOG10(C176)</f>
        <v>-0.27766826228319447</v>
      </c>
      <c r="E176" s="95"/>
      <c r="F176" s="18"/>
      <c r="G176" s="18"/>
      <c r="H176" s="15"/>
      <c r="I176" s="23"/>
      <c r="J176" s="23"/>
      <c r="K176" s="23"/>
    </row>
    <row r="177" spans="1:11" ht="12.75">
      <c r="A177" s="15">
        <v>5</v>
      </c>
      <c r="B177" s="15" t="s">
        <v>453</v>
      </c>
      <c r="C177" s="15">
        <f>-LN(1-C88)</f>
        <v>0.43078291609245417</v>
      </c>
      <c r="D177" s="18">
        <f>LOG10(C177)</f>
        <v>-0.36574152820110817</v>
      </c>
      <c r="E177" s="95"/>
      <c r="F177" s="18"/>
      <c r="G177" s="18"/>
      <c r="H177" s="15"/>
      <c r="I177" s="23"/>
      <c r="J177" s="23"/>
      <c r="K177" s="23"/>
    </row>
    <row r="178" spans="1:11" ht="12.75">
      <c r="A178" s="15">
        <v>6</v>
      </c>
      <c r="B178" s="15" t="s">
        <v>453</v>
      </c>
      <c r="C178" s="15">
        <f>-LN(1-C89)</f>
        <v>0.6539264674066639</v>
      </c>
      <c r="D178" s="18">
        <f>LOG10(C178)</f>
        <v>-0.18447108438973517</v>
      </c>
      <c r="E178" s="95">
        <f>STDEV(D175:D178)</f>
        <v>0.12533154394257984</v>
      </c>
      <c r="F178" s="18">
        <f>AVERAGE(C175:C178)</f>
        <v>0.6140780489690046</v>
      </c>
      <c r="G178" s="18">
        <f>STDEV(C175:C178)</f>
        <v>0.17842658129706515</v>
      </c>
      <c r="H178" s="18">
        <f>EXP(SQRT(LN(POWER(G178,2)/POWER(F178,2)+1)))</f>
        <v>1.3293537334205159</v>
      </c>
      <c r="I178" s="21">
        <f>LOG10(H178)</f>
        <v>0.12364055959697215</v>
      </c>
      <c r="J178" s="88">
        <f>E178/I178</f>
        <v>1.0136766151101204</v>
      </c>
      <c r="K178" s="21"/>
    </row>
  </sheetData>
  <hyperlinks>
    <hyperlink ref="O1" r:id="rId1" display="桰瑯は⸸瑨m"/>
    <hyperlink ref="M1" r:id="rId2" display="桰瑯は⸱瑨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D37" sqref="D37:D40"/>
    </sheetView>
  </sheetViews>
  <sheetFormatPr defaultColWidth="11.00390625" defaultRowHeight="12"/>
  <cols>
    <col min="1" max="1" width="11.50390625" style="0" customWidth="1"/>
  </cols>
  <sheetData>
    <row r="1" ht="18.75">
      <c r="A1" s="187" t="s">
        <v>567</v>
      </c>
    </row>
    <row r="2" ht="12.75">
      <c r="A2" s="4" t="s">
        <v>608</v>
      </c>
    </row>
    <row r="4" ht="15.75">
      <c r="A4" s="188" t="s">
        <v>572</v>
      </c>
    </row>
    <row r="5" spans="2:4" ht="12.75">
      <c r="B5" t="s">
        <v>609</v>
      </c>
      <c r="C5" t="s">
        <v>366</v>
      </c>
      <c r="D5" t="s">
        <v>563</v>
      </c>
    </row>
    <row r="6" spans="1:4" ht="12.75">
      <c r="A6" t="s">
        <v>568</v>
      </c>
      <c r="B6">
        <v>0.003</v>
      </c>
      <c r="C6">
        <v>0.002</v>
      </c>
      <c r="D6" s="3">
        <f>C6/B6</f>
        <v>0.6666666666666666</v>
      </c>
    </row>
    <row r="7" spans="1:4" ht="12.75">
      <c r="A7" t="s">
        <v>569</v>
      </c>
      <c r="B7">
        <v>0.027000000000000003</v>
      </c>
      <c r="C7">
        <v>0.005</v>
      </c>
      <c r="D7" s="3">
        <f>C7/B7</f>
        <v>0.18518518518518517</v>
      </c>
    </row>
    <row r="8" spans="1:4" ht="12.75">
      <c r="A8" t="s">
        <v>570</v>
      </c>
      <c r="B8">
        <v>0.147</v>
      </c>
      <c r="C8">
        <v>0.012</v>
      </c>
      <c r="D8" s="3">
        <f>C8/B8</f>
        <v>0.0816326530612245</v>
      </c>
    </row>
    <row r="9" spans="1:4" ht="12.75">
      <c r="A9" s="1" t="s">
        <v>571</v>
      </c>
      <c r="B9" s="1">
        <v>0.179</v>
      </c>
      <c r="C9" s="1">
        <v>0.012</v>
      </c>
      <c r="D9" s="3">
        <f>C9/B9</f>
        <v>0.0670391061452514</v>
      </c>
    </row>
    <row r="11" spans="2:3" ht="12.75">
      <c r="B11" t="s">
        <v>610</v>
      </c>
      <c r="C11" t="s">
        <v>366</v>
      </c>
    </row>
    <row r="12" spans="1:4" ht="12.75">
      <c r="A12" t="s">
        <v>568</v>
      </c>
      <c r="B12">
        <v>0.001</v>
      </c>
      <c r="C12">
        <v>0.001</v>
      </c>
      <c r="D12" s="3">
        <f>C12/B12</f>
        <v>1</v>
      </c>
    </row>
    <row r="13" spans="1:4" ht="12.75">
      <c r="A13" t="s">
        <v>569</v>
      </c>
      <c r="B13">
        <v>0.015</v>
      </c>
      <c r="C13">
        <v>0.002</v>
      </c>
      <c r="D13" s="3">
        <f>C13/B13</f>
        <v>0.13333333333333333</v>
      </c>
    </row>
    <row r="14" spans="1:4" ht="12.75">
      <c r="A14" t="s">
        <v>570</v>
      </c>
      <c r="B14">
        <v>0.077</v>
      </c>
      <c r="C14">
        <v>0.005</v>
      </c>
      <c r="D14" s="3">
        <f>C14/B14</f>
        <v>0.06493506493506494</v>
      </c>
    </row>
    <row r="15" spans="1:4" ht="12.75">
      <c r="A15" s="1" t="s">
        <v>571</v>
      </c>
      <c r="B15" s="1">
        <v>0.093</v>
      </c>
      <c r="C15" s="1">
        <v>0.005</v>
      </c>
      <c r="D15" s="3">
        <f>C15/B15</f>
        <v>0.053763440860215055</v>
      </c>
    </row>
    <row r="17" spans="2:3" ht="12.75">
      <c r="B17" t="s">
        <v>611</v>
      </c>
      <c r="C17" t="s">
        <v>366</v>
      </c>
    </row>
    <row r="18" spans="1:4" ht="12.75">
      <c r="A18" t="s">
        <v>568</v>
      </c>
      <c r="B18">
        <v>0.0004</v>
      </c>
      <c r="C18">
        <v>0.0003</v>
      </c>
      <c r="D18" s="3">
        <f>C18/B18</f>
        <v>0.7499999999999999</v>
      </c>
    </row>
    <row r="19" spans="1:4" ht="12.75">
      <c r="A19" t="s">
        <v>569</v>
      </c>
      <c r="B19">
        <v>0.011</v>
      </c>
      <c r="C19">
        <v>0.002</v>
      </c>
      <c r="D19" s="3">
        <f>C19/B19</f>
        <v>0.18181818181818182</v>
      </c>
    </row>
    <row r="20" spans="1:4" ht="12.75">
      <c r="A20" t="s">
        <v>570</v>
      </c>
      <c r="B20">
        <v>0.035</v>
      </c>
      <c r="C20">
        <v>0.003</v>
      </c>
      <c r="D20" s="3">
        <f>C20/B20</f>
        <v>0.0857142857142857</v>
      </c>
    </row>
    <row r="21" spans="1:4" ht="12.75">
      <c r="A21" s="1" t="s">
        <v>571</v>
      </c>
      <c r="B21" s="1">
        <v>0.046</v>
      </c>
      <c r="C21" s="1">
        <v>0.003</v>
      </c>
      <c r="D21" s="3">
        <f>C21/B21</f>
        <v>0.06521739130434782</v>
      </c>
    </row>
    <row r="23" ht="15.75">
      <c r="A23" s="188" t="s">
        <v>612</v>
      </c>
    </row>
    <row r="24" spans="2:3" ht="12.75">
      <c r="B24" t="s">
        <v>609</v>
      </c>
      <c r="C24" t="s">
        <v>366</v>
      </c>
    </row>
    <row r="25" spans="1:4" ht="12.75">
      <c r="A25" t="s">
        <v>568</v>
      </c>
      <c r="B25">
        <v>0.001</v>
      </c>
      <c r="C25">
        <v>0.001</v>
      </c>
      <c r="D25" s="3">
        <f>C25/B25</f>
        <v>1</v>
      </c>
    </row>
    <row r="26" spans="1:4" ht="12.75">
      <c r="A26" t="s">
        <v>569</v>
      </c>
      <c r="B26">
        <v>0.029</v>
      </c>
      <c r="C26">
        <v>0.006</v>
      </c>
      <c r="D26" s="3">
        <f>C26/B26</f>
        <v>0.20689655172413793</v>
      </c>
    </row>
    <row r="27" spans="1:4" ht="12.75">
      <c r="A27" t="s">
        <v>570</v>
      </c>
      <c r="B27">
        <v>0.163</v>
      </c>
      <c r="C27">
        <v>0.013</v>
      </c>
      <c r="D27" s="3">
        <f>C27/B27</f>
        <v>0.07975460122699386</v>
      </c>
    </row>
    <row r="28" spans="1:4" ht="12.75">
      <c r="A28" s="1" t="s">
        <v>571</v>
      </c>
      <c r="B28" s="1">
        <v>0.193</v>
      </c>
      <c r="C28" s="1">
        <v>0.017</v>
      </c>
      <c r="D28" s="3">
        <f>C28/B28</f>
        <v>0.08808290155440415</v>
      </c>
    </row>
    <row r="30" spans="2:3" ht="12.75">
      <c r="B30" t="s">
        <v>610</v>
      </c>
      <c r="C30" t="s">
        <v>366</v>
      </c>
    </row>
    <row r="31" spans="1:4" ht="12.75">
      <c r="A31" t="s">
        <v>568</v>
      </c>
      <c r="B31">
        <v>0.001</v>
      </c>
      <c r="C31">
        <v>0.001</v>
      </c>
      <c r="D31" s="3">
        <f>C31/B31</f>
        <v>1</v>
      </c>
    </row>
    <row r="32" spans="1:4" ht="12.75">
      <c r="A32" t="s">
        <v>569</v>
      </c>
      <c r="B32">
        <v>0.019</v>
      </c>
      <c r="C32">
        <v>0.002</v>
      </c>
      <c r="D32" s="3">
        <f>C32/B32</f>
        <v>0.10526315789473685</v>
      </c>
    </row>
    <row r="33" spans="1:4" ht="12.75">
      <c r="A33" t="s">
        <v>570</v>
      </c>
      <c r="B33">
        <v>0.093</v>
      </c>
      <c r="C33">
        <v>0.009</v>
      </c>
      <c r="D33" s="3">
        <f>C33/B33</f>
        <v>0.0967741935483871</v>
      </c>
    </row>
    <row r="34" spans="1:4" ht="12.75">
      <c r="A34" s="1" t="s">
        <v>571</v>
      </c>
      <c r="B34" s="1">
        <v>0.113</v>
      </c>
      <c r="C34" s="1">
        <v>0.011</v>
      </c>
      <c r="D34" s="3">
        <f>C34/B34</f>
        <v>0.09734513274336282</v>
      </c>
    </row>
    <row r="36" spans="2:3" ht="12.75">
      <c r="B36" t="s">
        <v>611</v>
      </c>
      <c r="C36" t="s">
        <v>366</v>
      </c>
    </row>
    <row r="37" spans="1:4" ht="12.75">
      <c r="A37" t="s">
        <v>568</v>
      </c>
      <c r="B37">
        <v>0.001</v>
      </c>
      <c r="C37">
        <v>0.001</v>
      </c>
      <c r="D37" s="3">
        <f>C37/B37</f>
        <v>1</v>
      </c>
    </row>
    <row r="38" spans="1:4" ht="12.75">
      <c r="A38" t="s">
        <v>569</v>
      </c>
      <c r="B38">
        <v>0.015</v>
      </c>
      <c r="C38">
        <v>0.003</v>
      </c>
      <c r="D38" s="3">
        <f>C38/B38</f>
        <v>0.2</v>
      </c>
    </row>
    <row r="39" spans="1:4" ht="12.75">
      <c r="A39" t="s">
        <v>570</v>
      </c>
      <c r="B39">
        <v>0.043</v>
      </c>
      <c r="C39">
        <v>0.006</v>
      </c>
      <c r="D39" s="3">
        <f>C39/B39</f>
        <v>0.13953488372093026</v>
      </c>
    </row>
    <row r="40" spans="1:4" ht="12.75">
      <c r="A40" s="1" t="s">
        <v>571</v>
      </c>
      <c r="B40" s="1">
        <v>0.059</v>
      </c>
      <c r="C40" s="1">
        <v>0.008</v>
      </c>
      <c r="D40" s="3">
        <f>C40/B40</f>
        <v>0.13559322033898305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G1">
      <selection activeCell="C28" sqref="C28:C32"/>
    </sheetView>
  </sheetViews>
  <sheetFormatPr defaultColWidth="11.00390625" defaultRowHeight="12"/>
  <sheetData>
    <row r="1" ht="18.75">
      <c r="A1" s="187" t="s">
        <v>78</v>
      </c>
    </row>
    <row r="2" ht="12.75">
      <c r="A2" t="s">
        <v>79</v>
      </c>
    </row>
    <row r="5" spans="5:9" ht="12.75">
      <c r="E5" t="s">
        <v>83</v>
      </c>
      <c r="I5" t="s">
        <v>88</v>
      </c>
    </row>
    <row r="6" spans="1:9" ht="12.75">
      <c r="A6" t="s">
        <v>80</v>
      </c>
      <c r="E6" t="s">
        <v>84</v>
      </c>
      <c r="I6" t="s">
        <v>89</v>
      </c>
    </row>
    <row r="7" spans="1:9" ht="12.75">
      <c r="A7" t="s">
        <v>81</v>
      </c>
      <c r="E7" t="s">
        <v>85</v>
      </c>
      <c r="I7" t="s">
        <v>90</v>
      </c>
    </row>
    <row r="8" spans="1:9" ht="12.75">
      <c r="A8" t="s">
        <v>82</v>
      </c>
      <c r="E8" t="s">
        <v>86</v>
      </c>
      <c r="I8" t="s">
        <v>91</v>
      </c>
    </row>
    <row r="9" spans="2:12" ht="12.75">
      <c r="B9" t="s">
        <v>414</v>
      </c>
      <c r="C9" t="s">
        <v>87</v>
      </c>
      <c r="D9" t="s">
        <v>218</v>
      </c>
      <c r="F9" t="s">
        <v>414</v>
      </c>
      <c r="G9" t="s">
        <v>87</v>
      </c>
      <c r="H9" t="s">
        <v>218</v>
      </c>
      <c r="J9" t="s">
        <v>414</v>
      </c>
      <c r="K9" t="s">
        <v>87</v>
      </c>
      <c r="L9" t="s">
        <v>218</v>
      </c>
    </row>
    <row r="10" spans="1:12" ht="12.75">
      <c r="A10">
        <v>1</v>
      </c>
      <c r="B10">
        <v>0.16</v>
      </c>
      <c r="C10" s="3">
        <f>-LN(1-B10)</f>
        <v>0.1743533871447778</v>
      </c>
      <c r="D10">
        <f>LOG(C10)</f>
        <v>-0.7585696112131687</v>
      </c>
      <c r="E10">
        <v>1</v>
      </c>
      <c r="F10" s="214">
        <v>0.1641</v>
      </c>
      <c r="G10" s="3">
        <f>-LN(1-F10)</f>
        <v>0.17924629027702665</v>
      </c>
      <c r="H10">
        <f>LOG(G10)</f>
        <v>-0.7465498238269047</v>
      </c>
      <c r="I10">
        <v>1</v>
      </c>
      <c r="J10" s="214">
        <v>0.3087</v>
      </c>
      <c r="K10" s="3">
        <f>-LN(1-J10)</f>
        <v>0.3691813960309177</v>
      </c>
      <c r="L10">
        <f>LOG(K10)</f>
        <v>-0.43276019227420276</v>
      </c>
    </row>
    <row r="11" spans="1:12" ht="12.75">
      <c r="A11">
        <v>2</v>
      </c>
      <c r="B11">
        <v>0.14</v>
      </c>
      <c r="C11" s="3">
        <f aca="true" t="shared" si="0" ref="C11:C19">-LN(1-B11)</f>
        <v>0.15082288973458366</v>
      </c>
      <c r="D11">
        <f aca="true" t="shared" si="1" ref="D11:D19">LOG(C11)</f>
        <v>-0.8215327424779075</v>
      </c>
      <c r="E11">
        <v>2</v>
      </c>
      <c r="F11" s="214">
        <v>0.1363</v>
      </c>
      <c r="G11" s="3">
        <f aca="true" t="shared" si="2" ref="G11:G19">-LN(1-F11)</f>
        <v>0.14652979269589714</v>
      </c>
      <c r="H11">
        <f aca="true" t="shared" si="3" ref="H11:H19">LOG(G11)</f>
        <v>-0.8340740648117841</v>
      </c>
      <c r="I11">
        <v>2</v>
      </c>
      <c r="J11" s="214">
        <v>0.2701</v>
      </c>
      <c r="K11" s="3">
        <f aca="true" t="shared" si="4" ref="K11:K19">-LN(1-J11)</f>
        <v>0.31484774052455045</v>
      </c>
      <c r="L11">
        <f aca="true" t="shared" si="5" ref="L11:L19">LOG(K11)</f>
        <v>-0.5018994190245855</v>
      </c>
    </row>
    <row r="12" spans="1:12" ht="12.75">
      <c r="A12">
        <v>3</v>
      </c>
      <c r="B12">
        <v>0.11</v>
      </c>
      <c r="C12" s="3">
        <f t="shared" si="0"/>
        <v>0.11653381625595151</v>
      </c>
      <c r="D12">
        <f t="shared" si="1"/>
        <v>-0.9335480310130718</v>
      </c>
      <c r="E12">
        <v>3</v>
      </c>
      <c r="F12" s="214">
        <v>0.1428</v>
      </c>
      <c r="G12" s="3">
        <f t="shared" si="2"/>
        <v>0.15408401538271516</v>
      </c>
      <c r="H12">
        <f t="shared" si="3"/>
        <v>-0.8122424124895724</v>
      </c>
      <c r="I12">
        <v>3</v>
      </c>
      <c r="J12" s="214">
        <v>0.2298</v>
      </c>
      <c r="K12" s="3">
        <f t="shared" si="4"/>
        <v>0.26110505760132857</v>
      </c>
      <c r="L12">
        <f t="shared" si="5"/>
        <v>-0.5831847158175169</v>
      </c>
    </row>
    <row r="13" spans="1:12" ht="12.75">
      <c r="A13">
        <v>4</v>
      </c>
      <c r="B13">
        <v>0.13</v>
      </c>
      <c r="C13" s="3">
        <f t="shared" si="0"/>
        <v>0.13926206733350766</v>
      </c>
      <c r="D13">
        <f t="shared" si="1"/>
        <v>-0.8561671620480555</v>
      </c>
      <c r="E13">
        <v>4</v>
      </c>
      <c r="F13" s="214">
        <v>0.166</v>
      </c>
      <c r="G13" s="3">
        <f t="shared" si="2"/>
        <v>0.18152187662339034</v>
      </c>
      <c r="H13">
        <f t="shared" si="3"/>
        <v>-0.7410710272433819</v>
      </c>
      <c r="I13">
        <v>4</v>
      </c>
      <c r="J13" s="214">
        <v>0.1686</v>
      </c>
      <c r="K13" s="3">
        <f t="shared" si="4"/>
        <v>0.18464425216359998</v>
      </c>
      <c r="L13">
        <f t="shared" si="5"/>
        <v>-0.7336642070624704</v>
      </c>
    </row>
    <row r="14" spans="1:12" ht="12.75">
      <c r="A14">
        <v>5</v>
      </c>
      <c r="B14">
        <v>0.12</v>
      </c>
      <c r="C14" s="3">
        <f t="shared" si="0"/>
        <v>0.12783337150988489</v>
      </c>
      <c r="D14">
        <f t="shared" si="1"/>
        <v>-0.8933557567356024</v>
      </c>
      <c r="E14">
        <v>5</v>
      </c>
      <c r="F14" s="214">
        <v>0.1749</v>
      </c>
      <c r="G14" s="3">
        <f t="shared" si="2"/>
        <v>0.1922506878718396</v>
      </c>
      <c r="H14">
        <f t="shared" si="3"/>
        <v>-0.7161320976206289</v>
      </c>
      <c r="I14">
        <v>5</v>
      </c>
      <c r="J14" s="214">
        <v>0.1902</v>
      </c>
      <c r="K14" s="3">
        <f t="shared" si="4"/>
        <v>0.21096797538407633</v>
      </c>
      <c r="L14">
        <f t="shared" si="5"/>
        <v>-0.6757834649371061</v>
      </c>
    </row>
    <row r="15" spans="1:12" ht="12.75">
      <c r="A15">
        <v>6</v>
      </c>
      <c r="B15">
        <v>0.16</v>
      </c>
      <c r="C15" s="3">
        <f t="shared" si="0"/>
        <v>0.1743533871447778</v>
      </c>
      <c r="D15">
        <f t="shared" si="1"/>
        <v>-0.7585696112131687</v>
      </c>
      <c r="E15">
        <v>6</v>
      </c>
      <c r="F15" s="214">
        <v>0.1509</v>
      </c>
      <c r="G15" s="3">
        <f t="shared" si="2"/>
        <v>0.16357831397681935</v>
      </c>
      <c r="H15">
        <f t="shared" si="3"/>
        <v>-0.7862742724523921</v>
      </c>
      <c r="I15">
        <v>6</v>
      </c>
      <c r="J15" s="214">
        <v>0.1959</v>
      </c>
      <c r="K15" s="3">
        <f t="shared" si="4"/>
        <v>0.21803163942803364</v>
      </c>
      <c r="L15">
        <f t="shared" si="5"/>
        <v>-0.6614804796432644</v>
      </c>
    </row>
    <row r="16" spans="1:12" ht="12.75">
      <c r="A16">
        <v>7</v>
      </c>
      <c r="B16">
        <v>0.18</v>
      </c>
      <c r="C16" s="3">
        <f t="shared" si="0"/>
        <v>0.19845093872383818</v>
      </c>
      <c r="D16">
        <f t="shared" si="1"/>
        <v>-0.7023468424276733</v>
      </c>
      <c r="E16">
        <v>7</v>
      </c>
      <c r="F16" s="214">
        <v>0.1948</v>
      </c>
      <c r="G16" s="3">
        <f t="shared" si="2"/>
        <v>0.2166645852165006</v>
      </c>
      <c r="H16">
        <f t="shared" si="3"/>
        <v>-0.6642120702306387</v>
      </c>
      <c r="I16">
        <v>7</v>
      </c>
      <c r="J16" s="214">
        <v>0.1906</v>
      </c>
      <c r="K16" s="3">
        <f t="shared" si="4"/>
        <v>0.21146204654037185</v>
      </c>
      <c r="L16">
        <f t="shared" si="5"/>
        <v>-0.6747675689848699</v>
      </c>
    </row>
    <row r="17" spans="1:12" ht="12.75">
      <c r="A17">
        <v>8</v>
      </c>
      <c r="B17">
        <v>0.13</v>
      </c>
      <c r="C17" s="3">
        <f t="shared" si="0"/>
        <v>0.13926206733350766</v>
      </c>
      <c r="D17">
        <f t="shared" si="1"/>
        <v>-0.8561671620480555</v>
      </c>
      <c r="E17">
        <v>8</v>
      </c>
      <c r="F17" s="214">
        <v>0.1479</v>
      </c>
      <c r="G17" s="3">
        <f t="shared" si="2"/>
        <v>0.16005138814822678</v>
      </c>
      <c r="H17">
        <f t="shared" si="3"/>
        <v>-0.7957405548063182</v>
      </c>
      <c r="I17">
        <v>8</v>
      </c>
      <c r="J17" s="214">
        <v>0.167</v>
      </c>
      <c r="K17" s="3">
        <f t="shared" si="4"/>
        <v>0.18272163681529444</v>
      </c>
      <c r="L17">
        <f t="shared" si="5"/>
        <v>-0.7382100230190406</v>
      </c>
    </row>
    <row r="18" spans="1:12" ht="12.75">
      <c r="A18">
        <v>9</v>
      </c>
      <c r="B18">
        <v>0.13</v>
      </c>
      <c r="C18" s="3">
        <f t="shared" si="0"/>
        <v>0.13926206733350766</v>
      </c>
      <c r="D18">
        <f t="shared" si="1"/>
        <v>-0.8561671620480555</v>
      </c>
      <c r="E18">
        <v>9</v>
      </c>
      <c r="F18" s="214">
        <v>0.1671</v>
      </c>
      <c r="G18" s="3">
        <f t="shared" si="2"/>
        <v>0.18284169204084227</v>
      </c>
      <c r="H18">
        <f t="shared" si="3"/>
        <v>-0.7379247683463867</v>
      </c>
      <c r="I18">
        <v>9</v>
      </c>
      <c r="J18" s="214">
        <v>0.2184</v>
      </c>
      <c r="K18" s="3">
        <f t="shared" si="4"/>
        <v>0.2464121782535641</v>
      </c>
      <c r="L18">
        <f t="shared" si="5"/>
        <v>-0.6083378321503718</v>
      </c>
    </row>
    <row r="19" spans="1:12" ht="12.75">
      <c r="A19">
        <v>10</v>
      </c>
      <c r="B19">
        <v>0.16</v>
      </c>
      <c r="C19" s="3">
        <f t="shared" si="0"/>
        <v>0.1743533871447778</v>
      </c>
      <c r="D19">
        <f t="shared" si="1"/>
        <v>-0.7585696112131687</v>
      </c>
      <c r="E19">
        <v>10</v>
      </c>
      <c r="F19" s="214">
        <v>0.1793</v>
      </c>
      <c r="G19" s="3">
        <f t="shared" si="2"/>
        <v>0.1975976443464711</v>
      </c>
      <c r="H19">
        <f t="shared" si="3"/>
        <v>-0.7042182371442762</v>
      </c>
      <c r="I19">
        <v>10</v>
      </c>
      <c r="J19" s="214">
        <v>0.1673</v>
      </c>
      <c r="K19" s="3">
        <f t="shared" si="4"/>
        <v>0.18308184574036343</v>
      </c>
      <c r="L19">
        <f t="shared" si="5"/>
        <v>-0.7373547178811035</v>
      </c>
    </row>
    <row r="20" spans="4:12" ht="12.75">
      <c r="D20" s="178">
        <f>STDEV(D10:D19)</f>
        <v>0.0725424011636073</v>
      </c>
      <c r="H20" s="178">
        <f>STDEV(H10:H19)</f>
        <v>0.052749770180353955</v>
      </c>
      <c r="L20" s="178">
        <f>STDEV(L10:L19)</f>
        <v>0.1037203154707842</v>
      </c>
    </row>
    <row r="24" spans="1:5" ht="12.75">
      <c r="A24" t="s">
        <v>92</v>
      </c>
      <c r="E24" t="s">
        <v>95</v>
      </c>
    </row>
    <row r="25" spans="1:5" ht="12.75">
      <c r="A25" t="s">
        <v>93</v>
      </c>
      <c r="E25" t="s">
        <v>85</v>
      </c>
    </row>
    <row r="26" spans="1:5" ht="12.75">
      <c r="A26" t="s">
        <v>94</v>
      </c>
      <c r="E26" t="s">
        <v>96</v>
      </c>
    </row>
    <row r="27" spans="2:10" ht="12.75">
      <c r="B27" t="s">
        <v>414</v>
      </c>
      <c r="C27" t="s">
        <v>87</v>
      </c>
      <c r="D27" t="s">
        <v>218</v>
      </c>
      <c r="F27" t="s">
        <v>414</v>
      </c>
      <c r="G27" t="s">
        <v>87</v>
      </c>
      <c r="H27" t="s">
        <v>218</v>
      </c>
      <c r="J27" t="s">
        <v>97</v>
      </c>
    </row>
    <row r="28" spans="1:10" ht="12.75">
      <c r="A28">
        <v>1</v>
      </c>
      <c r="B28" s="214">
        <v>0.2256</v>
      </c>
      <c r="C28" s="3">
        <f>-LN(1-B28)</f>
        <v>0.2556667430197698</v>
      </c>
      <c r="D28">
        <f>LOG(C28)</f>
        <v>-0.5923257610716212</v>
      </c>
      <c r="E28">
        <v>1</v>
      </c>
      <c r="F28" s="207">
        <v>0.2766</v>
      </c>
      <c r="G28" s="3">
        <f>-LN(1-F28)</f>
        <v>0.3237929594641394</v>
      </c>
      <c r="H28">
        <f>LOG(G28)</f>
        <v>-0.48973259875471586</v>
      </c>
      <c r="J28" s="180">
        <f>STDEV(D10:D19,H10:H19,L10:L19,D28:D32,H28:H37)</f>
        <v>0.14305564100135212</v>
      </c>
    </row>
    <row r="29" spans="1:8" ht="12.75">
      <c r="A29">
        <v>2</v>
      </c>
      <c r="B29" s="214">
        <v>0.2044</v>
      </c>
      <c r="C29" s="3">
        <f>-LN(1-B29)</f>
        <v>0.22865873200231993</v>
      </c>
      <c r="D29">
        <f>LOG(C29)</f>
        <v>-0.6408122091618765</v>
      </c>
      <c r="E29">
        <v>2</v>
      </c>
      <c r="F29" s="207">
        <v>0.2712</v>
      </c>
      <c r="G29" s="3">
        <f aca="true" t="shared" si="6" ref="G29:G37">-LN(1-F29)</f>
        <v>0.3163559330363885</v>
      </c>
      <c r="H29">
        <f aca="true" t="shared" si="7" ref="H29:H37">LOG(G29)</f>
        <v>-0.4998240162362775</v>
      </c>
    </row>
    <row r="30" spans="1:8" ht="12.75">
      <c r="A30">
        <v>3</v>
      </c>
      <c r="B30" s="214">
        <v>0.2466</v>
      </c>
      <c r="C30" s="3">
        <f>-LN(1-B30)</f>
        <v>0.28315898372419634</v>
      </c>
      <c r="D30">
        <f>LOG(C30)</f>
        <v>-0.5479696550512171</v>
      </c>
      <c r="E30">
        <v>3</v>
      </c>
      <c r="F30" s="207">
        <v>0.321</v>
      </c>
      <c r="G30" s="3">
        <f t="shared" si="6"/>
        <v>0.3871341514234408</v>
      </c>
      <c r="H30">
        <f t="shared" si="7"/>
        <v>-0.4121385152722865</v>
      </c>
    </row>
    <row r="31" spans="1:8" ht="12.75">
      <c r="A31">
        <v>4</v>
      </c>
      <c r="B31" s="214">
        <v>0.2318</v>
      </c>
      <c r="C31" s="3">
        <f>-LN(1-B31)</f>
        <v>0.26370516307033265</v>
      </c>
      <c r="D31">
        <f>LOG(C31)</f>
        <v>-0.5788813670931636</v>
      </c>
      <c r="E31">
        <v>4</v>
      </c>
      <c r="F31" s="207">
        <v>0.337</v>
      </c>
      <c r="G31" s="3">
        <f t="shared" si="6"/>
        <v>0.41098028879627446</v>
      </c>
      <c r="H31">
        <f t="shared" si="7"/>
        <v>-0.3861790070102873</v>
      </c>
    </row>
    <row r="32" spans="1:8" ht="12.75">
      <c r="A32">
        <v>5</v>
      </c>
      <c r="B32" s="214">
        <v>0.2085</v>
      </c>
      <c r="C32" s="3">
        <f>-LN(1-B32)</f>
        <v>0.23382539966107024</v>
      </c>
      <c r="D32">
        <f>LOG(C32)</f>
        <v>-0.6311083146733365</v>
      </c>
      <c r="E32">
        <v>5</v>
      </c>
      <c r="F32" s="207">
        <v>0.307</v>
      </c>
      <c r="G32" s="3">
        <f t="shared" si="6"/>
        <v>0.36672527979223374</v>
      </c>
      <c r="H32">
        <f t="shared" si="7"/>
        <v>-0.435659151408762</v>
      </c>
    </row>
    <row r="33" spans="4:8" ht="12.75">
      <c r="D33" s="178">
        <f>STDEV(D28:D32)</f>
        <v>0.038175775907678566</v>
      </c>
      <c r="E33">
        <v>6</v>
      </c>
      <c r="F33" s="207">
        <v>0.2909</v>
      </c>
      <c r="G33" s="3">
        <f t="shared" si="6"/>
        <v>0.34375871867218594</v>
      </c>
      <c r="H33">
        <f t="shared" si="7"/>
        <v>-0.46374627811236663</v>
      </c>
    </row>
    <row r="34" spans="5:8" ht="12.75">
      <c r="E34">
        <v>7</v>
      </c>
      <c r="F34" s="207">
        <v>0.2797</v>
      </c>
      <c r="G34" s="3">
        <f t="shared" si="6"/>
        <v>0.3280874870868199</v>
      </c>
      <c r="H34">
        <f t="shared" si="7"/>
        <v>-0.48401033283484346</v>
      </c>
    </row>
    <row r="35" spans="5:8" ht="12.75">
      <c r="E35">
        <v>8</v>
      </c>
      <c r="F35" s="207">
        <v>0.2671</v>
      </c>
      <c r="G35" s="3">
        <f t="shared" si="6"/>
        <v>0.3107460120503326</v>
      </c>
      <c r="H35">
        <f t="shared" si="7"/>
        <v>-0.5075944361558206</v>
      </c>
    </row>
    <row r="36" spans="5:8" ht="12.75">
      <c r="E36">
        <v>9</v>
      </c>
      <c r="F36" s="207">
        <v>0.2513</v>
      </c>
      <c r="G36" s="3">
        <f t="shared" si="6"/>
        <v>0.2894169097454976</v>
      </c>
      <c r="H36">
        <f t="shared" si="7"/>
        <v>-0.5384760979764227</v>
      </c>
    </row>
    <row r="37" spans="5:8" ht="12.75">
      <c r="E37">
        <v>10</v>
      </c>
      <c r="F37" s="207">
        <v>0.2386</v>
      </c>
      <c r="G37" s="3">
        <f t="shared" si="6"/>
        <v>0.2725964350337401</v>
      </c>
      <c r="H37">
        <f t="shared" si="7"/>
        <v>-0.564479828087914</v>
      </c>
    </row>
    <row r="38" ht="12.75">
      <c r="H38" s="178">
        <f>STDEV(H28:H37)</f>
        <v>0.05520308235941182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P110"/>
  <sheetViews>
    <sheetView workbookViewId="0" topLeftCell="I1">
      <selection activeCell="I1" sqref="I1"/>
    </sheetView>
  </sheetViews>
  <sheetFormatPr defaultColWidth="11.00390625" defaultRowHeight="12"/>
  <sheetData>
    <row r="1" spans="1:68" ht="18.75">
      <c r="A1" s="32" t="s">
        <v>322</v>
      </c>
      <c r="BB1" t="s">
        <v>258</v>
      </c>
      <c r="BC1" t="s">
        <v>259</v>
      </c>
      <c r="BL1" t="s">
        <v>258</v>
      </c>
      <c r="BM1" t="s">
        <v>260</v>
      </c>
      <c r="BO1" t="s">
        <v>258</v>
      </c>
      <c r="BP1" t="s">
        <v>259</v>
      </c>
    </row>
    <row r="2" spans="12:68" ht="18.75">
      <c r="L2" s="91" t="s">
        <v>190</v>
      </c>
      <c r="V2" s="91" t="s">
        <v>54</v>
      </c>
      <c r="AF2" s="91" t="s">
        <v>494</v>
      </c>
      <c r="AP2" s="91" t="s">
        <v>278</v>
      </c>
      <c r="AZ2" s="3">
        <v>0.6970000000000001</v>
      </c>
      <c r="BB2">
        <v>0.7</v>
      </c>
      <c r="BC2">
        <v>1</v>
      </c>
      <c r="BJ2" s="5">
        <v>1.194022473472768</v>
      </c>
      <c r="BK2" s="5">
        <v>3.0576076772720775</v>
      </c>
      <c r="BL2">
        <v>1.2</v>
      </c>
      <c r="BM2">
        <v>2</v>
      </c>
      <c r="BO2">
        <v>1.2</v>
      </c>
      <c r="BP2">
        <v>2</v>
      </c>
    </row>
    <row r="3" spans="1:68" ht="12.75">
      <c r="A3" t="s">
        <v>520</v>
      </c>
      <c r="B3" t="s">
        <v>585</v>
      </c>
      <c r="C3" t="s">
        <v>584</v>
      </c>
      <c r="D3" t="s">
        <v>586</v>
      </c>
      <c r="F3" t="s">
        <v>520</v>
      </c>
      <c r="G3" t="s">
        <v>550</v>
      </c>
      <c r="H3" t="s">
        <v>353</v>
      </c>
      <c r="I3" t="s">
        <v>354</v>
      </c>
      <c r="J3" t="s">
        <v>184</v>
      </c>
      <c r="K3" t="s">
        <v>185</v>
      </c>
      <c r="L3" t="s">
        <v>387</v>
      </c>
      <c r="M3" t="s">
        <v>388</v>
      </c>
      <c r="N3" t="s">
        <v>109</v>
      </c>
      <c r="O3" t="s">
        <v>388</v>
      </c>
      <c r="P3" t="s">
        <v>174</v>
      </c>
      <c r="Q3" t="s">
        <v>241</v>
      </c>
      <c r="R3" t="s">
        <v>198</v>
      </c>
      <c r="S3" t="s">
        <v>199</v>
      </c>
      <c r="U3" t="s">
        <v>520</v>
      </c>
      <c r="V3" s="38" t="s">
        <v>387</v>
      </c>
      <c r="W3" t="s">
        <v>388</v>
      </c>
      <c r="X3" t="s">
        <v>109</v>
      </c>
      <c r="Y3" t="s">
        <v>388</v>
      </c>
      <c r="Z3" t="s">
        <v>174</v>
      </c>
      <c r="AA3" t="s">
        <v>500</v>
      </c>
      <c r="AB3" t="s">
        <v>498</v>
      </c>
      <c r="AC3" t="s">
        <v>499</v>
      </c>
      <c r="AE3" t="s">
        <v>520</v>
      </c>
      <c r="AF3" s="38" t="s">
        <v>387</v>
      </c>
      <c r="AG3" t="s">
        <v>388</v>
      </c>
      <c r="AH3" t="s">
        <v>109</v>
      </c>
      <c r="AI3" t="s">
        <v>388</v>
      </c>
      <c r="AJ3" t="s">
        <v>174</v>
      </c>
      <c r="AK3" t="s">
        <v>501</v>
      </c>
      <c r="AL3" t="s">
        <v>104</v>
      </c>
      <c r="AM3" t="s">
        <v>196</v>
      </c>
      <c r="AO3" t="s">
        <v>520</v>
      </c>
      <c r="AP3" s="38" t="s">
        <v>387</v>
      </c>
      <c r="AQ3" t="s">
        <v>388</v>
      </c>
      <c r="AR3" t="s">
        <v>109</v>
      </c>
      <c r="AS3" t="s">
        <v>388</v>
      </c>
      <c r="AT3" t="s">
        <v>174</v>
      </c>
      <c r="AU3" t="s">
        <v>279</v>
      </c>
      <c r="AV3" t="s">
        <v>280</v>
      </c>
      <c r="AW3" t="s">
        <v>281</v>
      </c>
      <c r="AZ3" s="3">
        <v>0.7090000000000001</v>
      </c>
      <c r="BB3">
        <v>0.71</v>
      </c>
      <c r="BC3">
        <v>1</v>
      </c>
      <c r="BJ3" s="5">
        <v>1.2344320118106449</v>
      </c>
      <c r="BK3" s="5">
        <v>3.0791138824930435</v>
      </c>
      <c r="BL3">
        <f>0.4+BL2</f>
        <v>1.6</v>
      </c>
      <c r="BM3">
        <v>4</v>
      </c>
      <c r="BO3">
        <f>0.1+BO2</f>
        <v>1.3</v>
      </c>
      <c r="BP3">
        <v>1</v>
      </c>
    </row>
    <row r="4" spans="1:68" ht="12.75">
      <c r="A4" t="s">
        <v>521</v>
      </c>
      <c r="B4">
        <v>34</v>
      </c>
      <c r="C4">
        <v>125</v>
      </c>
      <c r="D4">
        <v>64</v>
      </c>
      <c r="F4" t="s">
        <v>521</v>
      </c>
      <c r="G4" t="s">
        <v>551</v>
      </c>
      <c r="H4">
        <v>3.02</v>
      </c>
      <c r="I4">
        <v>10.8</v>
      </c>
      <c r="J4">
        <v>14</v>
      </c>
      <c r="K4" s="3">
        <f>I4/J4</f>
        <v>0.7714285714285715</v>
      </c>
      <c r="L4" s="3">
        <v>0.909</v>
      </c>
      <c r="M4" s="3">
        <f>LOG10(L4)</f>
        <v>-0.04143611677803254</v>
      </c>
      <c r="N4" s="3"/>
      <c r="O4" s="3"/>
      <c r="P4" s="3">
        <f>-LN(1-L4)</f>
        <v>2.3968957724652875</v>
      </c>
      <c r="Q4" s="3">
        <f>LOG10(P4)</f>
        <v>0.3796491494164892</v>
      </c>
      <c r="R4" s="3"/>
      <c r="S4" s="3"/>
      <c r="T4" s="3"/>
      <c r="U4" t="s">
        <v>521</v>
      </c>
      <c r="V4" s="3">
        <v>0.475</v>
      </c>
      <c r="W4" s="3">
        <f>LOG10(V4)</f>
        <v>-0.3233063903751334</v>
      </c>
      <c r="X4" s="3"/>
      <c r="Y4" s="3"/>
      <c r="Z4" s="3">
        <f>-LN(1-V4)</f>
        <v>0.6443570163905132</v>
      </c>
      <c r="AA4" s="3">
        <f>LOG10(Z4)</f>
        <v>-0.19087343809613663</v>
      </c>
      <c r="AB4" s="3"/>
      <c r="AC4" s="3"/>
      <c r="AE4" t="s">
        <v>521</v>
      </c>
      <c r="AF4" s="3">
        <v>0.299</v>
      </c>
      <c r="AG4" s="3">
        <f>LOG10(AF4)</f>
        <v>-0.5243288116755703</v>
      </c>
      <c r="AH4" s="3"/>
      <c r="AI4" s="3"/>
      <c r="AJ4" s="3">
        <f>-LN(1-AF4)</f>
        <v>0.35524739194754684</v>
      </c>
      <c r="AK4" s="3">
        <f>LOG10(AJ4)</f>
        <v>-0.44946910176628196</v>
      </c>
      <c r="AL4" s="3"/>
      <c r="AM4" s="3"/>
      <c r="AO4" t="s">
        <v>521</v>
      </c>
      <c r="AP4" s="3">
        <v>0.135</v>
      </c>
      <c r="AQ4" s="3">
        <f>LOG10(AP4)</f>
        <v>-0.8696662315049939</v>
      </c>
      <c r="AR4" s="3"/>
      <c r="AS4" s="3"/>
      <c r="AT4" s="3">
        <f>-LN(1-AP4)</f>
        <v>0.14502577205025774</v>
      </c>
      <c r="AU4" s="3">
        <f>LOG10(AT4)</f>
        <v>-0.8385548138708863</v>
      </c>
      <c r="AV4" s="3"/>
      <c r="AW4" s="3"/>
      <c r="AZ4" s="3">
        <v>0.737</v>
      </c>
      <c r="BB4">
        <f>0.01+BB3</f>
        <v>0.72</v>
      </c>
      <c r="BC4">
        <v>0</v>
      </c>
      <c r="BJ4" s="5">
        <v>1.3356012468043725</v>
      </c>
      <c r="BK4" s="5">
        <v>3.1010927892118163</v>
      </c>
      <c r="BL4">
        <f aca="true" t="shared" si="0" ref="BL4:BL13">0.4+BL3</f>
        <v>2</v>
      </c>
      <c r="BM4">
        <v>6</v>
      </c>
      <c r="BO4">
        <f aca="true" t="shared" si="1" ref="BO4:BO43">0.1+BO3</f>
        <v>1.4000000000000001</v>
      </c>
      <c r="BP4">
        <v>1</v>
      </c>
    </row>
    <row r="5" spans="1:68" ht="12.75">
      <c r="A5" t="s">
        <v>521</v>
      </c>
      <c r="B5">
        <v>34</v>
      </c>
      <c r="C5">
        <v>125</v>
      </c>
      <c r="D5">
        <v>64</v>
      </c>
      <c r="F5" t="s">
        <v>521</v>
      </c>
      <c r="G5" t="s">
        <v>552</v>
      </c>
      <c r="H5">
        <v>5.33</v>
      </c>
      <c r="I5">
        <v>8.7</v>
      </c>
      <c r="J5">
        <v>14</v>
      </c>
      <c r="K5" s="3">
        <f aca="true" t="shared" si="2" ref="K5:K68">I5/J5</f>
        <v>0.6214285714285713</v>
      </c>
      <c r="L5" s="3">
        <v>0.9109999999999999</v>
      </c>
      <c r="M5" s="3">
        <f>LOG10(L5)</f>
        <v>-0.040481623027001784</v>
      </c>
      <c r="N5" s="3">
        <f>AVERAGE(L4:L5)</f>
        <v>0.9099999999999999</v>
      </c>
      <c r="O5" s="3">
        <f>LOG10(N5)</f>
        <v>-0.04095860767890643</v>
      </c>
      <c r="P5" s="3">
        <f>-LN(1-L5)</f>
        <v>2.4191189092499963</v>
      </c>
      <c r="Q5" s="3">
        <f>LOG10(P5)</f>
        <v>0.38365721617581305</v>
      </c>
      <c r="R5" s="3">
        <f>-LN(1-N5)</f>
        <v>2.407945608651871</v>
      </c>
      <c r="S5" s="3">
        <f>LOG10(R5)</f>
        <v>0.38164667273149194</v>
      </c>
      <c r="T5" s="3"/>
      <c r="U5" t="s">
        <v>521</v>
      </c>
      <c r="V5" s="3">
        <v>0.663</v>
      </c>
      <c r="W5" s="3">
        <f>LOG10(V5)</f>
        <v>-0.17848647159522682</v>
      </c>
      <c r="X5" s="3">
        <f>AVERAGE(V4:V5)</f>
        <v>0.569</v>
      </c>
      <c r="Y5" s="3">
        <f>LOG10(X5)</f>
        <v>-0.24488773360492885</v>
      </c>
      <c r="Z5" s="3">
        <f>-LN(1-V5)</f>
        <v>1.0876723486297755</v>
      </c>
      <c r="AA5" s="3">
        <f>LOG10(Z5)</f>
        <v>0.03649808781364221</v>
      </c>
      <c r="AB5" s="3">
        <f>-LN(1-X5)</f>
        <v>0.8416471888783892</v>
      </c>
      <c r="AC5" s="3">
        <f>LOG10(AB5)</f>
        <v>-0.07486992279232879</v>
      </c>
      <c r="AE5" t="s">
        <v>521</v>
      </c>
      <c r="AF5" s="3">
        <v>0.217</v>
      </c>
      <c r="AG5" s="3">
        <f>LOG10(AF5)</f>
        <v>-0.6635402661514704</v>
      </c>
      <c r="AH5" s="3">
        <f>AVERAGE(AF4:AF5)</f>
        <v>0.258</v>
      </c>
      <c r="AI5" s="3">
        <f>LOG10(AH5)</f>
        <v>-0.5883802940367698</v>
      </c>
      <c r="AJ5" s="3">
        <f>-LN(1-AF5)</f>
        <v>0.24462258299133394</v>
      </c>
      <c r="AK5" s="3">
        <f>LOG10(AJ5)</f>
        <v>-0.6115034523864192</v>
      </c>
      <c r="AL5" s="3">
        <f>-LN(1-AH5)</f>
        <v>0.2984060358147566</v>
      </c>
      <c r="AM5" s="3">
        <f>LOG10(AL5)</f>
        <v>-0.5251923967002673</v>
      </c>
      <c r="AO5" t="s">
        <v>521</v>
      </c>
      <c r="AP5" s="3">
        <v>0.03</v>
      </c>
      <c r="AQ5" s="3">
        <f>LOG10(AP5)</f>
        <v>-1.5228787452803376</v>
      </c>
      <c r="AR5" s="3">
        <f>AVERAGE(AP4:AP5)</f>
        <v>0.0825</v>
      </c>
      <c r="AS5" s="3">
        <f>LOG10(AR5)</f>
        <v>-1.083546051450075</v>
      </c>
      <c r="AT5" s="3">
        <f>-LN(1-AP5)</f>
        <v>0.030459207484708574</v>
      </c>
      <c r="AU5" s="3">
        <f>LOG10(AT5)</f>
        <v>-1.5162814007207743</v>
      </c>
      <c r="AV5" s="3">
        <f>-LN(1-AR5)</f>
        <v>0.08610269905341174</v>
      </c>
      <c r="AW5" s="3">
        <f>LOG10(AV5)</f>
        <v>-1.0649832345436656</v>
      </c>
      <c r="AZ5" s="3">
        <v>0.742</v>
      </c>
      <c r="BB5">
        <f aca="true" t="shared" si="3" ref="BB5:BB32">0.01+BB4</f>
        <v>0.73</v>
      </c>
      <c r="BC5">
        <v>0</v>
      </c>
      <c r="BJ5" s="5">
        <v>1.3547956940605197</v>
      </c>
      <c r="BK5" s="5">
        <v>3.1010927892118163</v>
      </c>
      <c r="BL5">
        <f t="shared" si="0"/>
        <v>2.4</v>
      </c>
      <c r="BM5">
        <v>10</v>
      </c>
      <c r="BO5">
        <f t="shared" si="1"/>
        <v>1.5000000000000002</v>
      </c>
      <c r="BP5">
        <v>1</v>
      </c>
    </row>
    <row r="6" spans="1:68" ht="12.75">
      <c r="A6" t="s">
        <v>522</v>
      </c>
      <c r="B6">
        <v>42</v>
      </c>
      <c r="C6">
        <v>195</v>
      </c>
      <c r="D6">
        <v>73</v>
      </c>
      <c r="F6" t="s">
        <v>522</v>
      </c>
      <c r="G6" t="s">
        <v>553</v>
      </c>
      <c r="H6">
        <v>4.45</v>
      </c>
      <c r="I6">
        <v>7.1</v>
      </c>
      <c r="J6">
        <v>14</v>
      </c>
      <c r="K6" s="3">
        <f t="shared" si="2"/>
        <v>0.5071428571428571</v>
      </c>
      <c r="L6" s="3"/>
      <c r="M6" s="3"/>
      <c r="N6" s="3"/>
      <c r="O6" s="3"/>
      <c r="P6" s="3"/>
      <c r="Q6" s="3"/>
      <c r="R6" s="3"/>
      <c r="S6" s="3"/>
      <c r="T6" s="3"/>
      <c r="U6" t="s">
        <v>522</v>
      </c>
      <c r="V6" s="3"/>
      <c r="W6" s="3"/>
      <c r="X6" s="3"/>
      <c r="Y6" s="3"/>
      <c r="Z6" s="3"/>
      <c r="AA6" s="3"/>
      <c r="AB6" s="3"/>
      <c r="AC6" s="3"/>
      <c r="AE6" t="s">
        <v>522</v>
      </c>
      <c r="AF6" s="3">
        <v>0.218</v>
      </c>
      <c r="AG6" s="3">
        <f>LOG10(AF6)</f>
        <v>-0.6615435063953952</v>
      </c>
      <c r="AH6" s="3"/>
      <c r="AI6" s="3"/>
      <c r="AJ6" s="3">
        <f>-LN(1-AF6)</f>
        <v>0.2459005384368259</v>
      </c>
      <c r="AK6" s="3">
        <f>LOG10(AJ6)</f>
        <v>-0.6092405203060721</v>
      </c>
      <c r="AL6" s="3"/>
      <c r="AM6" s="3"/>
      <c r="AO6" t="s">
        <v>522</v>
      </c>
      <c r="AP6" s="3">
        <v>0.194</v>
      </c>
      <c r="AQ6" s="3">
        <f>LOG10(AP6)</f>
        <v>-0.7121982700697739</v>
      </c>
      <c r="AR6" s="3"/>
      <c r="AS6" s="3"/>
      <c r="AT6" s="3">
        <f>-LN(1-AP6)</f>
        <v>0.2156715364755087</v>
      </c>
      <c r="AU6" s="3">
        <f>LOG10(AT6)</f>
        <v>-0.6662071676804958</v>
      </c>
      <c r="AV6" s="3"/>
      <c r="AW6" s="3"/>
      <c r="AZ6" s="3">
        <v>0.7759999999999999</v>
      </c>
      <c r="BB6">
        <f t="shared" si="3"/>
        <v>0.74</v>
      </c>
      <c r="BC6">
        <v>2</v>
      </c>
      <c r="BJ6" s="5">
        <v>1.4961092271270968</v>
      </c>
      <c r="BK6" s="5">
        <v>3.146555163288576</v>
      </c>
      <c r="BL6">
        <f t="shared" si="0"/>
        <v>2.8</v>
      </c>
      <c r="BM6">
        <v>17</v>
      </c>
      <c r="BO6">
        <f t="shared" si="1"/>
        <v>1.6000000000000003</v>
      </c>
      <c r="BP6">
        <v>1</v>
      </c>
    </row>
    <row r="7" spans="1:68" ht="12.75">
      <c r="A7" t="s">
        <v>522</v>
      </c>
      <c r="B7">
        <v>42</v>
      </c>
      <c r="C7">
        <v>195</v>
      </c>
      <c r="D7">
        <v>73</v>
      </c>
      <c r="F7" t="s">
        <v>522</v>
      </c>
      <c r="G7" t="s">
        <v>554</v>
      </c>
      <c r="H7">
        <v>4.65</v>
      </c>
      <c r="I7">
        <v>21.5</v>
      </c>
      <c r="J7">
        <v>14</v>
      </c>
      <c r="K7" s="3">
        <f t="shared" si="2"/>
        <v>1.5357142857142858</v>
      </c>
      <c r="L7" s="3">
        <v>0.9670000000000001</v>
      </c>
      <c r="M7" s="3">
        <f aca="true" t="shared" si="4" ref="M7:M13">LOG10(L7)</f>
        <v>-0.01457352591699829</v>
      </c>
      <c r="N7" s="3"/>
      <c r="O7" s="3"/>
      <c r="P7" s="3">
        <f aca="true" t="shared" si="5" ref="P7:P13">-LN(1-L7)</f>
        <v>3.4112477175156593</v>
      </c>
      <c r="Q7" s="3">
        <f aca="true" t="shared" si="6" ref="Q7:Q13">LOG10(P7)</f>
        <v>0.5329132580892579</v>
      </c>
      <c r="R7" s="3"/>
      <c r="S7" s="3"/>
      <c r="T7" s="3"/>
      <c r="U7" t="s">
        <v>522</v>
      </c>
      <c r="V7" s="3">
        <v>0.385</v>
      </c>
      <c r="W7" s="3">
        <f aca="true" t="shared" si="7" ref="W7:W13">LOG10(V7)</f>
        <v>-0.4145392704914993</v>
      </c>
      <c r="X7" s="3"/>
      <c r="Y7" s="3"/>
      <c r="Z7" s="3">
        <f aca="true" t="shared" si="8" ref="Z7:Z13">-LN(1-V7)</f>
        <v>0.48613301117561925</v>
      </c>
      <c r="AA7" s="3">
        <f aca="true" t="shared" si="9" ref="AA7:AA13">LOG10(Z7)</f>
        <v>-0.3132448868772486</v>
      </c>
      <c r="AB7" s="3"/>
      <c r="AC7" s="3"/>
      <c r="AE7" t="s">
        <v>522</v>
      </c>
      <c r="AF7" s="3">
        <v>0.322</v>
      </c>
      <c r="AG7" s="3">
        <f aca="true" t="shared" si="10" ref="AG7:AG15">LOG10(AF7)</f>
        <v>-0.4921441283041691</v>
      </c>
      <c r="AH7" s="3"/>
      <c r="AI7" s="3"/>
      <c r="AJ7" s="3">
        <f aca="true" t="shared" si="11" ref="AJ7:AJ15">-LN(1-AF7)</f>
        <v>0.3886079910417416</v>
      </c>
      <c r="AK7" s="3">
        <f aca="true" t="shared" si="12" ref="AK7:AK15">LOG10(AJ7)</f>
        <v>-0.41048827314012004</v>
      </c>
      <c r="AL7" s="3"/>
      <c r="AM7" s="3"/>
      <c r="AO7" t="s">
        <v>522</v>
      </c>
      <c r="AP7" s="3">
        <v>0.264</v>
      </c>
      <c r="AQ7" s="3">
        <f aca="true" t="shared" si="13" ref="AQ7:AQ42">LOG10(AP7)</f>
        <v>-0.5783960731301689</v>
      </c>
      <c r="AR7" s="3"/>
      <c r="AS7" s="3"/>
      <c r="AT7" s="3">
        <f aca="true" t="shared" si="14" ref="AT7:AT42">-LN(1-AP7)</f>
        <v>0.3065251602532608</v>
      </c>
      <c r="AU7" s="3">
        <f aca="true" t="shared" si="15" ref="AU7:AU42">LOG10(AT7)</f>
        <v>-0.51353387184479</v>
      </c>
      <c r="AV7" s="3"/>
      <c r="AW7" s="3"/>
      <c r="AZ7" s="3">
        <v>0.7909999999999999</v>
      </c>
      <c r="BB7">
        <f t="shared" si="3"/>
        <v>0.75</v>
      </c>
      <c r="BC7">
        <v>0</v>
      </c>
      <c r="BJ7" s="5">
        <v>1.5654210270173257</v>
      </c>
      <c r="BK7" s="5">
        <v>3.170085660698768</v>
      </c>
      <c r="BL7">
        <f t="shared" si="0"/>
        <v>3.1999999999999997</v>
      </c>
      <c r="BM7">
        <v>14</v>
      </c>
      <c r="BO7">
        <f t="shared" si="1"/>
        <v>1.7000000000000004</v>
      </c>
      <c r="BP7">
        <v>2</v>
      </c>
    </row>
    <row r="8" spans="1:68" ht="12.75">
      <c r="A8" t="s">
        <v>522</v>
      </c>
      <c r="B8">
        <v>42</v>
      </c>
      <c r="C8">
        <v>195</v>
      </c>
      <c r="D8">
        <v>73</v>
      </c>
      <c r="F8" t="s">
        <v>522</v>
      </c>
      <c r="G8" t="s">
        <v>555</v>
      </c>
      <c r="H8">
        <v>4.77</v>
      </c>
      <c r="I8">
        <v>16.2</v>
      </c>
      <c r="J8">
        <v>14</v>
      </c>
      <c r="K8" s="3">
        <f t="shared" si="2"/>
        <v>1.157142857142857</v>
      </c>
      <c r="L8" s="3">
        <v>0.8859999999999999</v>
      </c>
      <c r="M8" s="3">
        <f t="shared" si="4"/>
        <v>-0.0525662781129493</v>
      </c>
      <c r="N8" s="3"/>
      <c r="O8" s="3"/>
      <c r="P8" s="3">
        <f t="shared" si="5"/>
        <v>2.1715568305876407</v>
      </c>
      <c r="Q8" s="3">
        <f t="shared" si="6"/>
        <v>0.33677119952263374</v>
      </c>
      <c r="R8" s="3"/>
      <c r="S8" s="3"/>
      <c r="T8" s="3"/>
      <c r="U8" t="s">
        <v>522</v>
      </c>
      <c r="V8" s="3">
        <v>0.474</v>
      </c>
      <c r="W8" s="3">
        <f t="shared" si="7"/>
        <v>-0.32422165832591493</v>
      </c>
      <c r="X8" s="3"/>
      <c r="Y8" s="3"/>
      <c r="Z8" s="3">
        <f t="shared" si="8"/>
        <v>0.6424540662444271</v>
      </c>
      <c r="AA8" s="3">
        <f t="shared" si="9"/>
        <v>-0.1921579177860898</v>
      </c>
      <c r="AB8" s="3"/>
      <c r="AC8" s="3"/>
      <c r="AE8" t="s">
        <v>522</v>
      </c>
      <c r="AF8" s="3">
        <v>0.379</v>
      </c>
      <c r="AG8" s="3">
        <f t="shared" si="10"/>
        <v>-0.42136079003192767</v>
      </c>
      <c r="AH8" s="3"/>
      <c r="AI8" s="3"/>
      <c r="AJ8" s="3">
        <f t="shared" si="11"/>
        <v>0.4764241970486583</v>
      </c>
      <c r="AK8" s="3">
        <f t="shared" si="12"/>
        <v>-0.3220061893012563</v>
      </c>
      <c r="AL8" s="3"/>
      <c r="AM8" s="3"/>
      <c r="AO8" t="s">
        <v>522</v>
      </c>
      <c r="AP8" s="3">
        <v>0.033</v>
      </c>
      <c r="AQ8" s="3">
        <f t="shared" si="13"/>
        <v>-1.4814860601221125</v>
      </c>
      <c r="AR8" s="3"/>
      <c r="AS8" s="3"/>
      <c r="AT8" s="3">
        <f t="shared" si="14"/>
        <v>0.033556783528842754</v>
      </c>
      <c r="AU8" s="3">
        <f t="shared" si="15"/>
        <v>-1.4742196736663407</v>
      </c>
      <c r="AV8" s="3"/>
      <c r="AW8" s="3"/>
      <c r="AZ8" s="3">
        <v>0.8140000000000001</v>
      </c>
      <c r="BB8">
        <f t="shared" si="3"/>
        <v>0.76</v>
      </c>
      <c r="BC8">
        <v>0</v>
      </c>
      <c r="BJ8" s="5">
        <v>1.682008605268936</v>
      </c>
      <c r="BK8" s="5">
        <v>3.2188758248681997</v>
      </c>
      <c r="BL8">
        <f t="shared" si="0"/>
        <v>3.5999999999999996</v>
      </c>
      <c r="BM8">
        <v>19</v>
      </c>
      <c r="BO8">
        <f t="shared" si="1"/>
        <v>1.8000000000000005</v>
      </c>
      <c r="BP8">
        <v>3</v>
      </c>
    </row>
    <row r="9" spans="1:68" ht="12.75">
      <c r="A9" t="s">
        <v>522</v>
      </c>
      <c r="B9">
        <v>42</v>
      </c>
      <c r="C9">
        <v>195</v>
      </c>
      <c r="D9">
        <v>73</v>
      </c>
      <c r="F9" t="s">
        <v>522</v>
      </c>
      <c r="G9" t="s">
        <v>553</v>
      </c>
      <c r="H9">
        <v>3.56</v>
      </c>
      <c r="I9">
        <v>19</v>
      </c>
      <c r="J9">
        <v>14</v>
      </c>
      <c r="K9" s="3">
        <f t="shared" si="2"/>
        <v>1.3571428571428572</v>
      </c>
      <c r="L9" s="3">
        <v>0.88</v>
      </c>
      <c r="M9" s="3">
        <f t="shared" si="4"/>
        <v>-0.05551732784983137</v>
      </c>
      <c r="N9" s="3"/>
      <c r="O9" s="3"/>
      <c r="P9" s="3">
        <f t="shared" si="5"/>
        <v>2.120263536200091</v>
      </c>
      <c r="Q9" s="3">
        <f t="shared" si="6"/>
        <v>0.326389844515692</v>
      </c>
      <c r="R9" s="3"/>
      <c r="S9" s="3"/>
      <c r="T9" s="3"/>
      <c r="U9" t="s">
        <v>522</v>
      </c>
      <c r="V9" s="3">
        <v>0.13</v>
      </c>
      <c r="W9" s="3">
        <f t="shared" si="7"/>
        <v>-0.8860566476931632</v>
      </c>
      <c r="X9" s="3"/>
      <c r="Y9" s="3"/>
      <c r="Z9" s="3">
        <f t="shared" si="8"/>
        <v>0.13926206733350766</v>
      </c>
      <c r="AA9" s="3">
        <f t="shared" si="9"/>
        <v>-0.8561671620480555</v>
      </c>
      <c r="AB9" s="3"/>
      <c r="AC9" s="3"/>
      <c r="AE9" t="s">
        <v>522</v>
      </c>
      <c r="AF9" s="3">
        <v>0.299</v>
      </c>
      <c r="AG9" s="3">
        <f t="shared" si="10"/>
        <v>-0.5243288116755703</v>
      </c>
      <c r="AH9" s="3"/>
      <c r="AI9" s="3"/>
      <c r="AJ9" s="3">
        <f t="shared" si="11"/>
        <v>0.35524739194754684</v>
      </c>
      <c r="AK9" s="3">
        <f t="shared" si="12"/>
        <v>-0.44946910176628196</v>
      </c>
      <c r="AL9" s="3"/>
      <c r="AM9" s="3"/>
      <c r="AO9" t="s">
        <v>522</v>
      </c>
      <c r="AP9" s="3">
        <v>0.448</v>
      </c>
      <c r="AQ9" s="3">
        <f t="shared" si="13"/>
        <v>-0.348721986001856</v>
      </c>
      <c r="AR9" s="3"/>
      <c r="AS9" s="3"/>
      <c r="AT9" s="3">
        <f t="shared" si="14"/>
        <v>0.5942072327050416</v>
      </c>
      <c r="AU9" s="3">
        <f t="shared" si="15"/>
        <v>-0.226062066257074</v>
      </c>
      <c r="AV9" s="3"/>
      <c r="AW9" s="3"/>
      <c r="AZ9" s="3">
        <v>0.8220000000000001</v>
      </c>
      <c r="BB9">
        <f t="shared" si="3"/>
        <v>0.77</v>
      </c>
      <c r="BC9">
        <v>0</v>
      </c>
      <c r="BJ9" s="5">
        <v>1.7259717286900522</v>
      </c>
      <c r="BK9" s="5">
        <v>3.2441936328524896</v>
      </c>
      <c r="BL9">
        <f t="shared" si="0"/>
        <v>3.9999999999999996</v>
      </c>
      <c r="BM9">
        <v>7</v>
      </c>
      <c r="BO9">
        <f t="shared" si="1"/>
        <v>1.9000000000000006</v>
      </c>
      <c r="BP9">
        <v>1</v>
      </c>
    </row>
    <row r="10" spans="1:68" ht="12.75">
      <c r="A10" t="s">
        <v>522</v>
      </c>
      <c r="B10">
        <v>42</v>
      </c>
      <c r="C10">
        <v>195</v>
      </c>
      <c r="D10">
        <v>73</v>
      </c>
      <c r="F10" t="s">
        <v>522</v>
      </c>
      <c r="G10" t="s">
        <v>556</v>
      </c>
      <c r="H10">
        <v>3.43</v>
      </c>
      <c r="I10">
        <v>9.8</v>
      </c>
      <c r="J10">
        <v>14</v>
      </c>
      <c r="K10" s="3">
        <f t="shared" si="2"/>
        <v>0.7000000000000001</v>
      </c>
      <c r="L10" s="3">
        <v>0.875</v>
      </c>
      <c r="M10" s="3">
        <f t="shared" si="4"/>
        <v>-0.057991946977686754</v>
      </c>
      <c r="N10" s="3"/>
      <c r="O10" s="3"/>
      <c r="P10" s="3">
        <f t="shared" si="5"/>
        <v>2.0794415416798357</v>
      </c>
      <c r="Q10" s="3">
        <f t="shared" si="6"/>
        <v>0.31794671576480077</v>
      </c>
      <c r="R10" s="3"/>
      <c r="S10" s="3"/>
      <c r="T10" s="3"/>
      <c r="U10" t="s">
        <v>522</v>
      </c>
      <c r="V10" s="3">
        <v>0.05</v>
      </c>
      <c r="W10" s="3">
        <f t="shared" si="7"/>
        <v>-1.301029995663981</v>
      </c>
      <c r="X10" s="3"/>
      <c r="Y10" s="3"/>
      <c r="Z10" s="3">
        <f t="shared" si="8"/>
        <v>0.051293294387550585</v>
      </c>
      <c r="AA10" s="3">
        <f t="shared" si="9"/>
        <v>-1.2899394068342664</v>
      </c>
      <c r="AB10" s="3"/>
      <c r="AC10" s="3"/>
      <c r="AE10" t="s">
        <v>522</v>
      </c>
      <c r="AF10" s="3">
        <v>0.229</v>
      </c>
      <c r="AG10" s="3">
        <f t="shared" si="10"/>
        <v>-0.640164517660112</v>
      </c>
      <c r="AH10" s="3"/>
      <c r="AI10" s="3"/>
      <c r="AJ10" s="3">
        <f t="shared" si="11"/>
        <v>0.26006690541880756</v>
      </c>
      <c r="AK10" s="3">
        <f t="shared" si="12"/>
        <v>-0.5849149100434679</v>
      </c>
      <c r="AL10" s="3"/>
      <c r="AM10" s="3"/>
      <c r="AO10" t="s">
        <v>522</v>
      </c>
      <c r="AP10" s="3">
        <v>0.59</v>
      </c>
      <c r="AQ10" s="3">
        <f t="shared" si="13"/>
        <v>-0.22914798835785583</v>
      </c>
      <c r="AR10" s="3"/>
      <c r="AS10" s="3"/>
      <c r="AT10" s="3">
        <f t="shared" si="14"/>
        <v>0.8915981192837835</v>
      </c>
      <c r="AU10" s="3">
        <f t="shared" si="15"/>
        <v>-0.04983085628145476</v>
      </c>
      <c r="AV10" s="3"/>
      <c r="AW10" s="3"/>
      <c r="AZ10" s="3">
        <v>0.835</v>
      </c>
      <c r="BB10">
        <f t="shared" si="3"/>
        <v>0.78</v>
      </c>
      <c r="BC10">
        <v>1</v>
      </c>
      <c r="BJ10" s="5">
        <v>1.801809805081556</v>
      </c>
      <c r="BK10" s="5">
        <v>3.2701691192557534</v>
      </c>
      <c r="BL10">
        <f t="shared" si="0"/>
        <v>4.3999999999999995</v>
      </c>
      <c r="BM10">
        <v>1</v>
      </c>
      <c r="BO10">
        <f t="shared" si="1"/>
        <v>2.0000000000000004</v>
      </c>
      <c r="BP10">
        <v>0</v>
      </c>
    </row>
    <row r="11" spans="1:68" ht="12.75">
      <c r="A11" t="s">
        <v>522</v>
      </c>
      <c r="B11">
        <v>42</v>
      </c>
      <c r="C11">
        <v>195</v>
      </c>
      <c r="D11">
        <v>73</v>
      </c>
      <c r="F11" t="s">
        <v>522</v>
      </c>
      <c r="G11" t="s">
        <v>557</v>
      </c>
      <c r="H11">
        <v>5.03</v>
      </c>
      <c r="I11">
        <v>15.1</v>
      </c>
      <c r="J11">
        <v>14</v>
      </c>
      <c r="K11" s="3">
        <f t="shared" si="2"/>
        <v>1.0785714285714285</v>
      </c>
      <c r="L11" s="3">
        <v>0.9620000000000001</v>
      </c>
      <c r="M11" s="3">
        <f t="shared" si="4"/>
        <v>-0.016824927962187</v>
      </c>
      <c r="N11" s="3">
        <f>AVERAGE(L7:L11)</f>
        <v>0.914</v>
      </c>
      <c r="O11" s="3">
        <f>LOG10(N11)</f>
        <v>-0.039053804266168564</v>
      </c>
      <c r="P11" s="3">
        <f t="shared" si="5"/>
        <v>3.2701691192557534</v>
      </c>
      <c r="Q11" s="3">
        <f t="shared" si="6"/>
        <v>0.5145702131068691</v>
      </c>
      <c r="R11" s="3">
        <f>-LN(1-N11)</f>
        <v>2.4534079827286295</v>
      </c>
      <c r="S11" s="3">
        <f>LOG10(R11)</f>
        <v>0.389769774017524</v>
      </c>
      <c r="T11" s="3"/>
      <c r="U11" t="s">
        <v>522</v>
      </c>
      <c r="V11" s="3">
        <v>0.65</v>
      </c>
      <c r="W11" s="3">
        <f t="shared" si="7"/>
        <v>-0.1870866433571444</v>
      </c>
      <c r="X11" s="3">
        <f>AVERAGE(V7:V11)</f>
        <v>0.3378</v>
      </c>
      <c r="Y11" s="3">
        <f>LOG10(X11)</f>
        <v>-0.4713403547650101</v>
      </c>
      <c r="Z11" s="3">
        <f t="shared" si="8"/>
        <v>1.0498221244986778</v>
      </c>
      <c r="AA11" s="3">
        <f t="shared" si="9"/>
        <v>0.0211157210768562</v>
      </c>
      <c r="AB11" s="3">
        <f>-LN(1-X11)</f>
        <v>0.4121876538689911</v>
      </c>
      <c r="AC11" s="3">
        <f>LOG10(AB11)</f>
        <v>-0.38490502065207577</v>
      </c>
      <c r="AE11" t="s">
        <v>522</v>
      </c>
      <c r="AF11" s="3">
        <v>0.185</v>
      </c>
      <c r="AG11" s="3">
        <f t="shared" si="10"/>
        <v>-0.7328282715969863</v>
      </c>
      <c r="AH11" s="3">
        <f>AVERAGE(AF7:AF11)</f>
        <v>0.28280000000000005</v>
      </c>
      <c r="AI11" s="3">
        <f>LOG10(AH11)</f>
        <v>-0.5485205948751382</v>
      </c>
      <c r="AJ11" s="3">
        <f t="shared" si="11"/>
        <v>0.2045671657412744</v>
      </c>
      <c r="AK11" s="3">
        <f t="shared" si="12"/>
        <v>-0.6891640719029761</v>
      </c>
      <c r="AL11" s="3">
        <f>-LN(1-AH11)</f>
        <v>0.33240053725115937</v>
      </c>
      <c r="AM11" s="3">
        <f>LOG10(AL11)</f>
        <v>-0.47833828294741715</v>
      </c>
      <c r="AO11" t="s">
        <v>522</v>
      </c>
      <c r="AP11" s="3">
        <v>0.124</v>
      </c>
      <c r="AQ11" s="3">
        <f t="shared" si="13"/>
        <v>-0.906578314837765</v>
      </c>
      <c r="AR11" s="3">
        <f>AVERAGE(AP7:AP11)</f>
        <v>0.2918</v>
      </c>
      <c r="AS11" s="3">
        <f>LOG10(AR11)</f>
        <v>-0.5349147124425672</v>
      </c>
      <c r="AT11" s="3">
        <f t="shared" si="14"/>
        <v>0.13238918804574562</v>
      </c>
      <c r="AU11" s="3">
        <f t="shared" si="15"/>
        <v>-0.8781474813903137</v>
      </c>
      <c r="AV11" s="3">
        <f>-LN(1-AR11)</f>
        <v>0.3450287393043338</v>
      </c>
      <c r="AW11" s="3">
        <f>LOG10(AV11)</f>
        <v>-0.46214472869062967</v>
      </c>
      <c r="AZ11" s="3">
        <v>0.835</v>
      </c>
      <c r="BB11">
        <f t="shared" si="3"/>
        <v>0.79</v>
      </c>
      <c r="BC11">
        <v>1</v>
      </c>
      <c r="BJ11" s="5">
        <v>1.801809805081556</v>
      </c>
      <c r="BK11" s="5">
        <v>3.2968373663379116</v>
      </c>
      <c r="BL11">
        <f t="shared" si="0"/>
        <v>4.8</v>
      </c>
      <c r="BM11">
        <v>2</v>
      </c>
      <c r="BO11">
        <f t="shared" si="1"/>
        <v>2.1000000000000005</v>
      </c>
      <c r="BP11">
        <v>3</v>
      </c>
    </row>
    <row r="12" spans="1:68" ht="12.75">
      <c r="A12" t="s">
        <v>523</v>
      </c>
      <c r="B12">
        <v>53</v>
      </c>
      <c r="C12">
        <v>250</v>
      </c>
      <c r="D12">
        <v>75</v>
      </c>
      <c r="F12" t="s">
        <v>523</v>
      </c>
      <c r="G12" t="s">
        <v>558</v>
      </c>
      <c r="H12">
        <v>3.68</v>
      </c>
      <c r="I12">
        <v>17.5</v>
      </c>
      <c r="J12">
        <v>14</v>
      </c>
      <c r="K12" s="3">
        <f t="shared" si="2"/>
        <v>1.25</v>
      </c>
      <c r="L12" s="3">
        <v>0.9570000000000001</v>
      </c>
      <c r="M12" s="3">
        <f t="shared" si="4"/>
        <v>-0.019088062223156402</v>
      </c>
      <c r="N12" s="3"/>
      <c r="O12" s="3"/>
      <c r="P12" s="3">
        <f t="shared" si="5"/>
        <v>3.146555163288576</v>
      </c>
      <c r="Q12" s="3">
        <f t="shared" si="6"/>
        <v>0.49783534990897116</v>
      </c>
      <c r="R12" s="3"/>
      <c r="S12" s="3"/>
      <c r="T12" s="3"/>
      <c r="U12" t="s">
        <v>523</v>
      </c>
      <c r="V12" s="3">
        <v>0.478</v>
      </c>
      <c r="W12" s="3">
        <f t="shared" si="7"/>
        <v>-0.3205721033878811</v>
      </c>
      <c r="X12" s="3"/>
      <c r="Y12" s="3"/>
      <c r="Z12" s="3">
        <f t="shared" si="8"/>
        <v>0.6500876910994983</v>
      </c>
      <c r="AA12" s="3">
        <f t="shared" si="9"/>
        <v>-0.18702805690802624</v>
      </c>
      <c r="AB12" s="3"/>
      <c r="AC12" s="3"/>
      <c r="AE12" t="s">
        <v>523</v>
      </c>
      <c r="AF12" s="3">
        <v>0.417</v>
      </c>
      <c r="AG12" s="3">
        <f t="shared" si="10"/>
        <v>-0.3798639450262425</v>
      </c>
      <c r="AH12" s="3"/>
      <c r="AI12" s="3"/>
      <c r="AJ12" s="3">
        <f t="shared" si="11"/>
        <v>0.5395680926316447</v>
      </c>
      <c r="AK12" s="3">
        <f t="shared" si="12"/>
        <v>-0.26795374025240054</v>
      </c>
      <c r="AL12" s="3"/>
      <c r="AM12" s="3"/>
      <c r="AO12" t="s">
        <v>523</v>
      </c>
      <c r="AP12" s="3">
        <v>0.062</v>
      </c>
      <c r="AQ12" s="3">
        <f t="shared" si="13"/>
        <v>-1.207608310501746</v>
      </c>
      <c r="AR12" s="3"/>
      <c r="AS12" s="3"/>
      <c r="AT12" s="3">
        <f t="shared" si="14"/>
        <v>0.06400532997591245</v>
      </c>
      <c r="AU12" s="3">
        <f t="shared" si="15"/>
        <v>-1.1937838590982317</v>
      </c>
      <c r="AV12" s="3"/>
      <c r="AW12" s="3"/>
      <c r="AZ12" s="3">
        <v>0.8420000000000001</v>
      </c>
      <c r="BB12">
        <f t="shared" si="3"/>
        <v>0.8</v>
      </c>
      <c r="BC12">
        <v>0</v>
      </c>
      <c r="BJ12" s="5">
        <v>1.8451602459551708</v>
      </c>
      <c r="BK12" s="5">
        <v>3.2968373663379116</v>
      </c>
      <c r="BL12">
        <f t="shared" si="0"/>
        <v>5.2</v>
      </c>
      <c r="BM12">
        <v>1</v>
      </c>
      <c r="BO12">
        <f t="shared" si="1"/>
        <v>2.2000000000000006</v>
      </c>
      <c r="BP12">
        <v>2</v>
      </c>
    </row>
    <row r="13" spans="1:68" ht="12.75">
      <c r="A13" t="s">
        <v>523</v>
      </c>
      <c r="B13">
        <v>53</v>
      </c>
      <c r="C13">
        <v>250</v>
      </c>
      <c r="D13">
        <v>75</v>
      </c>
      <c r="F13" t="s">
        <v>523</v>
      </c>
      <c r="G13" t="s">
        <v>559</v>
      </c>
      <c r="H13">
        <v>4.96</v>
      </c>
      <c r="I13">
        <v>16.2</v>
      </c>
      <c r="J13">
        <v>14</v>
      </c>
      <c r="K13" s="3">
        <f t="shared" si="2"/>
        <v>1.157142857142857</v>
      </c>
      <c r="L13" s="3">
        <v>0.907</v>
      </c>
      <c r="M13" s="3">
        <f t="shared" si="4"/>
        <v>-0.042392712939904736</v>
      </c>
      <c r="N13" s="3"/>
      <c r="O13" s="3"/>
      <c r="P13" s="3">
        <f t="shared" si="5"/>
        <v>2.3751557858288814</v>
      </c>
      <c r="Q13" s="3">
        <f t="shared" si="6"/>
        <v>0.37569210015330373</v>
      </c>
      <c r="R13" s="3"/>
      <c r="S13" s="3"/>
      <c r="T13" s="3"/>
      <c r="U13" t="s">
        <v>523</v>
      </c>
      <c r="V13" s="3">
        <v>0.526</v>
      </c>
      <c r="W13" s="3">
        <f t="shared" si="7"/>
        <v>-0.2790142558462609</v>
      </c>
      <c r="X13" s="3"/>
      <c r="Y13" s="3"/>
      <c r="Z13" s="3">
        <f t="shared" si="8"/>
        <v>0.7465479572870606</v>
      </c>
      <c r="AA13" s="3">
        <f t="shared" si="9"/>
        <v>-0.12694228852012873</v>
      </c>
      <c r="AB13" s="3"/>
      <c r="AC13" s="3"/>
      <c r="AE13" t="s">
        <v>523</v>
      </c>
      <c r="AF13" s="3">
        <v>0.343</v>
      </c>
      <c r="AG13" s="3">
        <f t="shared" si="10"/>
        <v>-0.4647058799572294</v>
      </c>
      <c r="AH13" s="3"/>
      <c r="AI13" s="3"/>
      <c r="AJ13" s="3">
        <f t="shared" si="11"/>
        <v>0.42007126049752647</v>
      </c>
      <c r="AK13" s="3">
        <f t="shared" si="12"/>
        <v>-0.3766770300408935</v>
      </c>
      <c r="AL13" s="3"/>
      <c r="AM13" s="3"/>
      <c r="AO13" t="s">
        <v>523</v>
      </c>
      <c r="AP13" s="3">
        <v>0.038</v>
      </c>
      <c r="AQ13" s="3">
        <f t="shared" si="13"/>
        <v>-1.4202164033831897</v>
      </c>
      <c r="AR13" s="3"/>
      <c r="AS13" s="3"/>
      <c r="AT13" s="3">
        <f t="shared" si="14"/>
        <v>0.038740828316430595</v>
      </c>
      <c r="AU13" s="3">
        <f t="shared" si="15"/>
        <v>-1.4118310978809936</v>
      </c>
      <c r="AV13" s="3"/>
      <c r="AW13" s="3"/>
      <c r="AZ13" s="3">
        <v>0.85</v>
      </c>
      <c r="BB13">
        <f t="shared" si="3"/>
        <v>0.81</v>
      </c>
      <c r="BC13">
        <v>1</v>
      </c>
      <c r="BJ13" s="5">
        <v>1.8971199848858813</v>
      </c>
      <c r="BK13" s="5">
        <v>3.324236340526029</v>
      </c>
      <c r="BL13">
        <f t="shared" si="0"/>
        <v>5.6000000000000005</v>
      </c>
      <c r="BM13">
        <v>1</v>
      </c>
      <c r="BO13">
        <f t="shared" si="1"/>
        <v>2.3000000000000007</v>
      </c>
      <c r="BP13">
        <v>1</v>
      </c>
    </row>
    <row r="14" spans="1:68" ht="12.75">
      <c r="A14" t="s">
        <v>523</v>
      </c>
      <c r="B14">
        <v>53</v>
      </c>
      <c r="C14">
        <v>250</v>
      </c>
      <c r="D14">
        <v>75</v>
      </c>
      <c r="F14" t="s">
        <v>523</v>
      </c>
      <c r="G14" t="s">
        <v>560</v>
      </c>
      <c r="H14">
        <v>2.46</v>
      </c>
      <c r="I14">
        <v>15.2</v>
      </c>
      <c r="J14">
        <v>14</v>
      </c>
      <c r="K14" s="3">
        <f t="shared" si="2"/>
        <v>1.0857142857142856</v>
      </c>
      <c r="L14" s="3"/>
      <c r="M14" s="3"/>
      <c r="N14" s="3"/>
      <c r="O14" s="3"/>
      <c r="P14" s="3"/>
      <c r="Q14" s="3"/>
      <c r="R14" s="3"/>
      <c r="S14" s="3"/>
      <c r="T14" s="3"/>
      <c r="U14" t="s">
        <v>523</v>
      </c>
      <c r="V14" s="3"/>
      <c r="W14" s="3"/>
      <c r="X14" s="3"/>
      <c r="Y14" s="3"/>
      <c r="Z14" s="3"/>
      <c r="AA14" s="3"/>
      <c r="AB14" s="3"/>
      <c r="AC14" s="3"/>
      <c r="AE14" t="s">
        <v>523</v>
      </c>
      <c r="AF14" s="3">
        <v>0.454</v>
      </c>
      <c r="AG14" s="3">
        <f t="shared" si="10"/>
        <v>-0.34294414714289606</v>
      </c>
      <c r="AH14" s="3"/>
      <c r="AI14" s="3"/>
      <c r="AJ14" s="3">
        <f t="shared" si="11"/>
        <v>0.6051363032372319</v>
      </c>
      <c r="AK14" s="3">
        <f t="shared" si="12"/>
        <v>-0.21814679216314134</v>
      </c>
      <c r="AL14" s="3"/>
      <c r="AM14" s="3"/>
      <c r="AO14" t="s">
        <v>523</v>
      </c>
      <c r="AP14" s="3">
        <v>0.234</v>
      </c>
      <c r="AQ14" s="3">
        <f t="shared" si="13"/>
        <v>-0.6307841425898572</v>
      </c>
      <c r="AR14" s="3"/>
      <c r="AS14" s="3"/>
      <c r="AT14" s="3">
        <f t="shared" si="14"/>
        <v>0.2665731092415457</v>
      </c>
      <c r="AU14" s="3">
        <f t="shared" si="15"/>
        <v>-0.5741836624879141</v>
      </c>
      <c r="AV14" s="3"/>
      <c r="AW14" s="3"/>
      <c r="AZ14" s="3">
        <v>0.875</v>
      </c>
      <c r="BB14">
        <f t="shared" si="3"/>
        <v>0.8200000000000001</v>
      </c>
      <c r="BC14">
        <v>1</v>
      </c>
      <c r="BJ14" s="5">
        <v>2.0794415416798357</v>
      </c>
      <c r="BK14" s="5">
        <v>3.381394754365975</v>
      </c>
      <c r="BO14">
        <f t="shared" si="1"/>
        <v>2.400000000000001</v>
      </c>
      <c r="BP14">
        <v>4</v>
      </c>
    </row>
    <row r="15" spans="1:68" ht="12.75">
      <c r="A15" t="s">
        <v>523</v>
      </c>
      <c r="B15">
        <v>53</v>
      </c>
      <c r="C15">
        <v>250</v>
      </c>
      <c r="D15">
        <v>75</v>
      </c>
      <c r="F15" t="s">
        <v>523</v>
      </c>
      <c r="G15" t="s">
        <v>561</v>
      </c>
      <c r="H15">
        <v>3.16</v>
      </c>
      <c r="I15">
        <v>17</v>
      </c>
      <c r="J15">
        <v>14</v>
      </c>
      <c r="K15" s="3">
        <f t="shared" si="2"/>
        <v>1.2142857142857142</v>
      </c>
      <c r="L15" s="3"/>
      <c r="M15" s="3"/>
      <c r="N15" s="3"/>
      <c r="O15" s="3"/>
      <c r="P15" s="3"/>
      <c r="Q15" s="3"/>
      <c r="R15" s="3"/>
      <c r="S15" s="3"/>
      <c r="T15" s="3"/>
      <c r="U15" t="s">
        <v>523</v>
      </c>
      <c r="V15" s="3"/>
      <c r="W15" s="3"/>
      <c r="X15" s="3"/>
      <c r="Y15" s="3"/>
      <c r="Z15" s="3"/>
      <c r="AA15" s="3"/>
      <c r="AB15" s="3"/>
      <c r="AC15" s="3"/>
      <c r="AE15" t="s">
        <v>523</v>
      </c>
      <c r="AF15" s="3">
        <v>0.607</v>
      </c>
      <c r="AG15" s="3">
        <f t="shared" si="10"/>
        <v>-0.21681130892474243</v>
      </c>
      <c r="AH15" s="3"/>
      <c r="AI15" s="3"/>
      <c r="AJ15" s="3">
        <f t="shared" si="11"/>
        <v>0.9339456671128759</v>
      </c>
      <c r="AK15" s="3">
        <f t="shared" si="12"/>
        <v>-0.029678388394553903</v>
      </c>
      <c r="AL15" s="3"/>
      <c r="AM15" s="3"/>
      <c r="AO15" t="s">
        <v>523</v>
      </c>
      <c r="AP15" s="3">
        <v>0.125</v>
      </c>
      <c r="AQ15" s="3">
        <f t="shared" si="13"/>
        <v>-0.9030899869919435</v>
      </c>
      <c r="AR15" s="3"/>
      <c r="AS15" s="3"/>
      <c r="AT15" s="3">
        <f t="shared" si="14"/>
        <v>0.13353139262452263</v>
      </c>
      <c r="AU15" s="3">
        <f t="shared" si="15"/>
        <v>-0.8744166216336894</v>
      </c>
      <c r="AV15" s="3"/>
      <c r="AW15" s="3"/>
      <c r="AZ15" s="3">
        <v>0.88</v>
      </c>
      <c r="BB15">
        <f t="shared" si="3"/>
        <v>0.8300000000000001</v>
      </c>
      <c r="BC15">
        <v>0</v>
      </c>
      <c r="BJ15" s="5">
        <v>2.120263536200091</v>
      </c>
      <c r="BK15" s="5">
        <v>3.381394754365975</v>
      </c>
      <c r="BO15">
        <f t="shared" si="1"/>
        <v>2.500000000000001</v>
      </c>
      <c r="BP15">
        <v>3</v>
      </c>
    </row>
    <row r="16" spans="1:68" ht="12.75">
      <c r="A16" t="s">
        <v>523</v>
      </c>
      <c r="B16">
        <v>53</v>
      </c>
      <c r="C16">
        <v>250</v>
      </c>
      <c r="D16">
        <v>75</v>
      </c>
      <c r="F16" t="s">
        <v>523</v>
      </c>
      <c r="G16" t="s">
        <v>562</v>
      </c>
      <c r="H16">
        <v>5.76</v>
      </c>
      <c r="I16">
        <v>16.1</v>
      </c>
      <c r="J16">
        <v>14</v>
      </c>
      <c r="K16" s="3">
        <f t="shared" si="2"/>
        <v>1.1500000000000001</v>
      </c>
      <c r="L16" s="3">
        <v>0.972</v>
      </c>
      <c r="M16" s="3">
        <f aca="true" t="shared" si="16" ref="M16:M40">LOG10(L16)</f>
        <v>-0.012333735073725434</v>
      </c>
      <c r="N16" s="3"/>
      <c r="O16" s="3"/>
      <c r="P16" s="3">
        <f aca="true" t="shared" si="17" ref="P16:P40">-LN(1-L16)</f>
        <v>3.575550768806932</v>
      </c>
      <c r="Q16" s="3">
        <f aca="true" t="shared" si="18" ref="Q16:Q40">LOG10(P16)</f>
        <v>0.5533429489147628</v>
      </c>
      <c r="R16" s="3"/>
      <c r="S16" s="3"/>
      <c r="T16" s="3"/>
      <c r="U16" t="s">
        <v>523</v>
      </c>
      <c r="V16" s="3">
        <v>0.7120000000000001</v>
      </c>
      <c r="W16" s="3">
        <f aca="true" t="shared" si="19" ref="W16:W40">LOG10(V16)</f>
        <v>-0.14752000636314358</v>
      </c>
      <c r="X16" s="3"/>
      <c r="Y16" s="3"/>
      <c r="Z16" s="3">
        <f aca="true" t="shared" si="20" ref="Z16:Z40">-LN(1-V16)</f>
        <v>1.2447947988461914</v>
      </c>
      <c r="AA16" s="3">
        <f aca="true" t="shared" si="21" ref="AA16:AA40">LOG10(Z16)</f>
        <v>0.09509776502710657</v>
      </c>
      <c r="AB16" s="3"/>
      <c r="AC16" s="3"/>
      <c r="AE16" t="s">
        <v>523</v>
      </c>
      <c r="AF16" s="3">
        <v>0.242</v>
      </c>
      <c r="AG16" s="3">
        <f aca="true" t="shared" si="22" ref="AG16:AG42">LOG10(AF16)</f>
        <v>-0.6161846340195688</v>
      </c>
      <c r="AH16" s="3"/>
      <c r="AI16" s="3"/>
      <c r="AJ16" s="3">
        <f aca="true" t="shared" si="23" ref="AJ16:AJ42">-LN(1-AF16)</f>
        <v>0.2770718933397654</v>
      </c>
      <c r="AK16" s="3">
        <f aca="true" t="shared" si="24" ref="AK16:AK42">LOG10(AJ16)</f>
        <v>-0.5574075275795565</v>
      </c>
      <c r="AL16" s="3"/>
      <c r="AM16" s="3"/>
      <c r="AO16" t="s">
        <v>523</v>
      </c>
      <c r="AP16" s="3">
        <v>0.018</v>
      </c>
      <c r="AQ16" s="3">
        <f t="shared" si="13"/>
        <v>-1.7447274948966938</v>
      </c>
      <c r="AR16" s="3"/>
      <c r="AS16" s="3"/>
      <c r="AT16" s="3">
        <f t="shared" si="14"/>
        <v>0.01816397062767118</v>
      </c>
      <c r="AU16" s="3">
        <f t="shared" si="15"/>
        <v>-1.7407892090530925</v>
      </c>
      <c r="AV16" s="3"/>
      <c r="AW16" s="3"/>
      <c r="AZ16" s="3">
        <v>0.883</v>
      </c>
      <c r="BB16">
        <f t="shared" si="3"/>
        <v>0.8400000000000001</v>
      </c>
      <c r="BC16">
        <v>3</v>
      </c>
      <c r="BJ16" s="5">
        <v>2.145581344184381</v>
      </c>
      <c r="BK16" s="5">
        <v>3.381394754365975</v>
      </c>
      <c r="BO16">
        <f t="shared" si="1"/>
        <v>2.600000000000001</v>
      </c>
      <c r="BP16">
        <v>7</v>
      </c>
    </row>
    <row r="17" spans="1:68" ht="12.75">
      <c r="A17" t="s">
        <v>523</v>
      </c>
      <c r="B17">
        <v>53</v>
      </c>
      <c r="C17">
        <v>250</v>
      </c>
      <c r="D17">
        <v>75</v>
      </c>
      <c r="F17" t="s">
        <v>523</v>
      </c>
      <c r="G17" t="s">
        <v>415</v>
      </c>
      <c r="H17">
        <v>7.25</v>
      </c>
      <c r="I17">
        <v>17.3</v>
      </c>
      <c r="J17">
        <v>14</v>
      </c>
      <c r="K17" s="3">
        <f t="shared" si="2"/>
        <v>1.2357142857142858</v>
      </c>
      <c r="L17" s="3">
        <v>0.987</v>
      </c>
      <c r="M17" s="3">
        <f t="shared" si="16"/>
        <v>-0.005682847330363272</v>
      </c>
      <c r="N17" s="3"/>
      <c r="O17" s="3"/>
      <c r="P17" s="3">
        <f t="shared" si="17"/>
        <v>4.3428059215206</v>
      </c>
      <c r="Q17" s="3">
        <f t="shared" si="18"/>
        <v>0.6377704213272268</v>
      </c>
      <c r="R17" s="3"/>
      <c r="S17" s="3"/>
      <c r="T17" s="3"/>
      <c r="U17" t="s">
        <v>523</v>
      </c>
      <c r="V17" s="3">
        <v>0.747</v>
      </c>
      <c r="W17" s="3">
        <f t="shared" si="19"/>
        <v>-0.12667939818460122</v>
      </c>
      <c r="X17" s="3"/>
      <c r="Y17" s="3"/>
      <c r="Z17" s="3">
        <f t="shared" si="20"/>
        <v>1.374365790254617</v>
      </c>
      <c r="AA17" s="3">
        <f t="shared" si="21"/>
        <v>0.13810233646930334</v>
      </c>
      <c r="AB17" s="3"/>
      <c r="AC17" s="3"/>
      <c r="AE17" t="s">
        <v>523</v>
      </c>
      <c r="AF17" s="3">
        <v>0.23</v>
      </c>
      <c r="AG17" s="3">
        <f t="shared" si="22"/>
        <v>-0.6382721639824072</v>
      </c>
      <c r="AH17" s="3"/>
      <c r="AI17" s="3"/>
      <c r="AJ17" s="3">
        <f t="shared" si="23"/>
        <v>0.2613647641344075</v>
      </c>
      <c r="AK17" s="3">
        <f t="shared" si="24"/>
        <v>-0.5827529621780622</v>
      </c>
      <c r="AL17" s="3"/>
      <c r="AM17" s="3"/>
      <c r="AO17" t="s">
        <v>523</v>
      </c>
      <c r="AP17" s="3">
        <v>0.01</v>
      </c>
      <c r="AQ17" s="3">
        <f t="shared" si="13"/>
        <v>-2</v>
      </c>
      <c r="AR17" s="3"/>
      <c r="AS17" s="3"/>
      <c r="AT17" s="3">
        <f t="shared" si="14"/>
        <v>0.01005033585350145</v>
      </c>
      <c r="AU17" s="3">
        <f t="shared" si="15"/>
        <v>-1.9978194251205788</v>
      </c>
      <c r="AV17" s="3"/>
      <c r="AW17" s="3"/>
      <c r="AZ17" s="3">
        <v>0.8859999999999999</v>
      </c>
      <c r="BB17">
        <f t="shared" si="3"/>
        <v>0.8500000000000001</v>
      </c>
      <c r="BC17">
        <v>1</v>
      </c>
      <c r="BJ17" s="5">
        <v>2.1715568305876407</v>
      </c>
      <c r="BK17" s="5">
        <v>3.4112477175156593</v>
      </c>
      <c r="BO17">
        <f t="shared" si="1"/>
        <v>2.700000000000001</v>
      </c>
      <c r="BP17">
        <v>5</v>
      </c>
    </row>
    <row r="18" spans="1:68" ht="12.75">
      <c r="A18" t="s">
        <v>523</v>
      </c>
      <c r="B18">
        <v>53</v>
      </c>
      <c r="C18">
        <v>250</v>
      </c>
      <c r="D18">
        <v>75</v>
      </c>
      <c r="F18" t="s">
        <v>523</v>
      </c>
      <c r="G18" t="s">
        <v>416</v>
      </c>
      <c r="H18">
        <v>1.34</v>
      </c>
      <c r="I18">
        <v>11.1</v>
      </c>
      <c r="J18">
        <v>14</v>
      </c>
      <c r="K18" s="3">
        <f t="shared" si="2"/>
        <v>0.7928571428571428</v>
      </c>
      <c r="L18" s="3">
        <v>0.8140000000000001</v>
      </c>
      <c r="M18" s="3">
        <f t="shared" si="16"/>
        <v>-0.08937559511079873</v>
      </c>
      <c r="N18" s="3"/>
      <c r="O18" s="3"/>
      <c r="P18" s="3">
        <f t="shared" si="17"/>
        <v>1.682008605268936</v>
      </c>
      <c r="Q18" s="3">
        <f t="shared" si="18"/>
        <v>0.22582821334730016</v>
      </c>
      <c r="R18" s="3"/>
      <c r="S18" s="3"/>
      <c r="T18" s="3"/>
      <c r="U18" t="s">
        <v>523</v>
      </c>
      <c r="V18" s="3">
        <v>0.10400000000000001</v>
      </c>
      <c r="W18" s="3">
        <f t="shared" si="19"/>
        <v>-0.9829666607012196</v>
      </c>
      <c r="X18" s="3"/>
      <c r="Y18" s="3"/>
      <c r="Z18" s="3">
        <f t="shared" si="20"/>
        <v>0.10981486600720658</v>
      </c>
      <c r="AA18" s="3">
        <f t="shared" si="21"/>
        <v>-0.9593388640036171</v>
      </c>
      <c r="AB18" s="3"/>
      <c r="AC18" s="3"/>
      <c r="AE18" t="s">
        <v>523</v>
      </c>
      <c r="AF18" s="3">
        <v>0.199</v>
      </c>
      <c r="AG18" s="3">
        <f t="shared" si="22"/>
        <v>-0.7011469235902933</v>
      </c>
      <c r="AH18" s="3"/>
      <c r="AI18" s="3"/>
      <c r="AJ18" s="3">
        <f t="shared" si="23"/>
        <v>0.22189433191377791</v>
      </c>
      <c r="AK18" s="3">
        <f t="shared" si="24"/>
        <v>-0.6538537912786218</v>
      </c>
      <c r="AL18" s="3"/>
      <c r="AM18" s="3"/>
      <c r="AO18" t="s">
        <v>523</v>
      </c>
      <c r="AP18" s="3">
        <v>0.51</v>
      </c>
      <c r="AQ18" s="3">
        <f t="shared" si="13"/>
        <v>-0.2924298239020636</v>
      </c>
      <c r="AR18" s="3"/>
      <c r="AS18" s="3"/>
      <c r="AT18" s="3">
        <f t="shared" si="14"/>
        <v>0.7133498878774648</v>
      </c>
      <c r="AU18" s="3">
        <f t="shared" si="15"/>
        <v>-0.1466974026829814</v>
      </c>
      <c r="AV18" s="3"/>
      <c r="AW18" s="3"/>
      <c r="AZ18" s="3">
        <v>0.894</v>
      </c>
      <c r="BB18">
        <f t="shared" si="3"/>
        <v>0.8600000000000001</v>
      </c>
      <c r="BC18">
        <v>0</v>
      </c>
      <c r="BJ18" s="5">
        <v>2.24431618487007</v>
      </c>
      <c r="BK18" s="5">
        <v>3.4112477175156593</v>
      </c>
      <c r="BO18">
        <f t="shared" si="1"/>
        <v>2.800000000000001</v>
      </c>
      <c r="BP18">
        <v>2</v>
      </c>
    </row>
    <row r="19" spans="1:68" ht="12.75">
      <c r="A19" t="s">
        <v>523</v>
      </c>
      <c r="B19">
        <v>53</v>
      </c>
      <c r="C19">
        <v>250</v>
      </c>
      <c r="D19">
        <v>75</v>
      </c>
      <c r="F19" t="s">
        <v>523</v>
      </c>
      <c r="G19" t="s">
        <v>417</v>
      </c>
      <c r="H19">
        <v>2.04</v>
      </c>
      <c r="I19">
        <v>10</v>
      </c>
      <c r="J19">
        <v>14</v>
      </c>
      <c r="K19" s="3">
        <f t="shared" si="2"/>
        <v>0.7142857142857143</v>
      </c>
      <c r="L19" s="3">
        <v>0.7759999999999999</v>
      </c>
      <c r="M19" s="3">
        <f t="shared" si="16"/>
        <v>-0.1101382787418116</v>
      </c>
      <c r="N19" s="3">
        <f>AVERAGE(L12:L19)</f>
        <v>0.9021666666666667</v>
      </c>
      <c r="O19" s="3">
        <f>LOG10(N19)</f>
        <v>-0.04471322329258231</v>
      </c>
      <c r="P19" s="3">
        <f t="shared" si="17"/>
        <v>1.4961092271270968</v>
      </c>
      <c r="Q19" s="3">
        <f t="shared" si="18"/>
        <v>0.17496330142076366</v>
      </c>
      <c r="R19" s="3">
        <f>-LN(1-N19)</f>
        <v>2.3244899283820954</v>
      </c>
      <c r="S19" s="3">
        <f>LOG10(R19)</f>
        <v>0.3663276687993572</v>
      </c>
      <c r="T19" s="3"/>
      <c r="U19" t="s">
        <v>523</v>
      </c>
      <c r="V19" s="3">
        <v>0.121</v>
      </c>
      <c r="W19" s="3">
        <f t="shared" si="19"/>
        <v>-0.9172146296835498</v>
      </c>
      <c r="X19" s="3">
        <f>AVERAGE(V12:V19)</f>
        <v>0.448</v>
      </c>
      <c r="Y19" s="3">
        <f>LOG10(X19)</f>
        <v>-0.348721986001856</v>
      </c>
      <c r="Z19" s="3">
        <f t="shared" si="20"/>
        <v>0.12897038129696006</v>
      </c>
      <c r="AA19" s="3">
        <f t="shared" si="21"/>
        <v>-0.889510016183173</v>
      </c>
      <c r="AB19" s="3">
        <f>-LN(1-X19)</f>
        <v>0.5942072327050416</v>
      </c>
      <c r="AC19" s="3">
        <f>LOG10(AB19)</f>
        <v>-0.226062066257074</v>
      </c>
      <c r="AE19" t="s">
        <v>523</v>
      </c>
      <c r="AF19" s="3">
        <v>0.223</v>
      </c>
      <c r="AG19" s="3">
        <f t="shared" si="22"/>
        <v>-0.6516951369518392</v>
      </c>
      <c r="AH19" s="3">
        <f>AVERAGE(AF12:AF19)</f>
        <v>0.3393749999999999</v>
      </c>
      <c r="AI19" s="3">
        <f>LOG10(AH19)</f>
        <v>-0.46932015306707786</v>
      </c>
      <c r="AJ19" s="3">
        <f t="shared" si="23"/>
        <v>0.25231492861448956</v>
      </c>
      <c r="AK19" s="3">
        <f t="shared" si="24"/>
        <v>-0.5980570529977217</v>
      </c>
      <c r="AL19" s="3">
        <f>-LN(1-AH19)</f>
        <v>0.41456892235763493</v>
      </c>
      <c r="AM19" s="3">
        <f>LOG10(AL19)</f>
        <v>-0.38240325736628794</v>
      </c>
      <c r="AO19" t="s">
        <v>523</v>
      </c>
      <c r="AP19" s="3">
        <v>0.432</v>
      </c>
      <c r="AQ19" s="3">
        <f t="shared" si="13"/>
        <v>-0.3645162531850879</v>
      </c>
      <c r="AR19" s="3">
        <f>AVERAGE(AP12:AP19)</f>
        <v>0.178625</v>
      </c>
      <c r="AS19" s="3">
        <f>LOG10(AR19)</f>
        <v>-0.7480577582009733</v>
      </c>
      <c r="AT19" s="3">
        <f t="shared" si="14"/>
        <v>0.5656338602609856</v>
      </c>
      <c r="AU19" s="3">
        <f t="shared" si="15"/>
        <v>-0.2474646004764606</v>
      </c>
      <c r="AV19" s="3">
        <f>-LN(1-AR19)</f>
        <v>0.19677551376410513</v>
      </c>
      <c r="AW19" s="3">
        <f>LOG10(AV19)</f>
        <v>-0.7060289450243559</v>
      </c>
      <c r="AZ19" s="3">
        <v>0.897</v>
      </c>
      <c r="BB19">
        <f t="shared" si="3"/>
        <v>0.8700000000000001</v>
      </c>
      <c r="BC19">
        <v>0</v>
      </c>
      <c r="BJ19" s="5">
        <v>2.2730262907525014</v>
      </c>
      <c r="BK19" s="5">
        <v>3.44201937618241</v>
      </c>
      <c r="BO19">
        <f t="shared" si="1"/>
        <v>2.9000000000000012</v>
      </c>
      <c r="BP19">
        <v>4</v>
      </c>
    </row>
    <row r="20" spans="1:68" ht="12.75">
      <c r="A20" t="s">
        <v>524</v>
      </c>
      <c r="B20">
        <v>68</v>
      </c>
      <c r="C20">
        <v>180</v>
      </c>
      <c r="D20">
        <v>70</v>
      </c>
      <c r="F20" t="s">
        <v>524</v>
      </c>
      <c r="G20" t="s">
        <v>418</v>
      </c>
      <c r="H20">
        <v>3.9</v>
      </c>
      <c r="I20">
        <v>19.1</v>
      </c>
      <c r="J20">
        <v>14</v>
      </c>
      <c r="K20" s="3">
        <f t="shared" si="2"/>
        <v>1.3642857142857143</v>
      </c>
      <c r="L20" s="3">
        <v>0.922</v>
      </c>
      <c r="M20" s="3">
        <f t="shared" si="16"/>
        <v>-0.03526907894637064</v>
      </c>
      <c r="N20" s="3"/>
      <c r="O20" s="3"/>
      <c r="P20" s="3">
        <f t="shared" si="17"/>
        <v>2.551046452292546</v>
      </c>
      <c r="Q20" s="3">
        <f t="shared" si="18"/>
        <v>0.4067183667989897</v>
      </c>
      <c r="R20" s="3"/>
      <c r="S20" s="3"/>
      <c r="T20" s="3"/>
      <c r="U20" t="s">
        <v>524</v>
      </c>
      <c r="V20" s="3">
        <v>0.29</v>
      </c>
      <c r="W20" s="3">
        <f t="shared" si="19"/>
        <v>-0.5376020021010439</v>
      </c>
      <c r="X20" s="3"/>
      <c r="Y20" s="3"/>
      <c r="Z20" s="3">
        <f t="shared" si="20"/>
        <v>0.342490308946776</v>
      </c>
      <c r="AA20" s="3">
        <f t="shared" si="21"/>
        <v>-0.46535171272771275</v>
      </c>
      <c r="AB20" s="3"/>
      <c r="AC20" s="3"/>
      <c r="AE20" t="s">
        <v>524</v>
      </c>
      <c r="AF20" s="3">
        <v>0.601</v>
      </c>
      <c r="AG20" s="3">
        <f t="shared" si="22"/>
        <v>-0.22112552799726048</v>
      </c>
      <c r="AH20" s="3"/>
      <c r="AI20" s="3"/>
      <c r="AJ20" s="3">
        <f t="shared" si="23"/>
        <v>0.9187938620922735</v>
      </c>
      <c r="AK20" s="3">
        <f t="shared" si="24"/>
        <v>-0.03678191472685899</v>
      </c>
      <c r="AL20" s="3"/>
      <c r="AM20" s="3"/>
      <c r="AO20" t="s">
        <v>524</v>
      </c>
      <c r="AP20" s="3">
        <v>0.032</v>
      </c>
      <c r="AQ20" s="3">
        <f t="shared" si="13"/>
        <v>-1.494850021680094</v>
      </c>
      <c r="AR20" s="3"/>
      <c r="AS20" s="3"/>
      <c r="AT20" s="3">
        <f t="shared" si="14"/>
        <v>0.03252319170556007</v>
      </c>
      <c r="AU20" s="3">
        <f t="shared" si="15"/>
        <v>-1.4878068409348253</v>
      </c>
      <c r="AV20" s="3"/>
      <c r="AW20" s="3"/>
      <c r="AZ20" s="3">
        <v>0.907</v>
      </c>
      <c r="BB20">
        <f t="shared" si="3"/>
        <v>0.8800000000000001</v>
      </c>
      <c r="BC20">
        <v>3</v>
      </c>
      <c r="BJ20" s="5">
        <v>2.3751557858288814</v>
      </c>
      <c r="BK20" s="5">
        <v>3.4737680744969937</v>
      </c>
      <c r="BO20">
        <f t="shared" si="1"/>
        <v>3.0000000000000013</v>
      </c>
      <c r="BP20">
        <v>2</v>
      </c>
    </row>
    <row r="21" spans="1:68" ht="12.75">
      <c r="A21" t="s">
        <v>524</v>
      </c>
      <c r="B21">
        <v>68</v>
      </c>
      <c r="C21">
        <v>180</v>
      </c>
      <c r="D21">
        <v>70</v>
      </c>
      <c r="F21" t="s">
        <v>524</v>
      </c>
      <c r="G21" t="s">
        <v>419</v>
      </c>
      <c r="H21">
        <v>5.04</v>
      </c>
      <c r="I21">
        <v>19.1</v>
      </c>
      <c r="J21">
        <v>14</v>
      </c>
      <c r="K21" s="3">
        <f t="shared" si="2"/>
        <v>1.3642857142857143</v>
      </c>
      <c r="L21" s="3">
        <v>0.955</v>
      </c>
      <c r="M21" s="3">
        <f t="shared" si="16"/>
        <v>-0.019996628416253673</v>
      </c>
      <c r="N21" s="3">
        <f>AVERAGE(L20:L21)</f>
        <v>0.9385</v>
      </c>
      <c r="O21" s="3">
        <f>LOG10(N21)</f>
        <v>-0.027565723042634882</v>
      </c>
      <c r="P21" s="3">
        <f t="shared" si="17"/>
        <v>3.1010927892118163</v>
      </c>
      <c r="Q21" s="3">
        <f t="shared" si="18"/>
        <v>0.4915147611550241</v>
      </c>
      <c r="R21" s="3">
        <f>-LN(1-N21)</f>
        <v>2.7887181041696647</v>
      </c>
      <c r="S21" s="3">
        <f>LOG10(R21)</f>
        <v>0.44540461609787285</v>
      </c>
      <c r="T21" s="3"/>
      <c r="U21" t="s">
        <v>524</v>
      </c>
      <c r="V21" s="3">
        <v>0.41200000000000003</v>
      </c>
      <c r="W21" s="3">
        <f t="shared" si="19"/>
        <v>-0.38510278396686537</v>
      </c>
      <c r="X21" s="3">
        <f>AVERAGE(V20:V21)</f>
        <v>0.351</v>
      </c>
      <c r="Y21" s="3">
        <f>LOG10(X21)</f>
        <v>-0.454692883534176</v>
      </c>
      <c r="Z21" s="3">
        <f t="shared" si="20"/>
        <v>0.5310283310835102</v>
      </c>
      <c r="AA21" s="3">
        <f t="shared" si="21"/>
        <v>-0.27488230809930203</v>
      </c>
      <c r="AB21" s="3">
        <f>-LN(1-X21)</f>
        <v>0.432322562278047</v>
      </c>
      <c r="AC21" s="3">
        <f>LOG10(AB21)</f>
        <v>-0.36419209868526714</v>
      </c>
      <c r="AE21" t="s">
        <v>524</v>
      </c>
      <c r="AF21" s="3">
        <v>0.517</v>
      </c>
      <c r="AG21" s="3">
        <f t="shared" si="22"/>
        <v>-0.2865094569060575</v>
      </c>
      <c r="AH21" s="3">
        <f>AVERAGE(AF20:AF21)</f>
        <v>0.5589999999999999</v>
      </c>
      <c r="AI21" s="3">
        <f>LOG10(AH21)</f>
        <v>-0.25258819211357675</v>
      </c>
      <c r="AJ21" s="3">
        <f t="shared" si="23"/>
        <v>0.7277386253295643</v>
      </c>
      <c r="AK21" s="3">
        <f t="shared" si="24"/>
        <v>-0.1380245739279144</v>
      </c>
      <c r="AL21" s="3">
        <f>-LN(1-AH21)</f>
        <v>0.818710403535291</v>
      </c>
      <c r="AM21" s="3">
        <f>LOG10(AL21)</f>
        <v>-0.0868696908987491</v>
      </c>
      <c r="AO21" t="s">
        <v>524</v>
      </c>
      <c r="AP21" s="3">
        <v>0.027</v>
      </c>
      <c r="AQ21" s="3">
        <f t="shared" si="13"/>
        <v>-1.5686362358410126</v>
      </c>
      <c r="AR21" s="3">
        <f>AVERAGE(AP20:AP21)</f>
        <v>0.0295</v>
      </c>
      <c r="AS21" s="3">
        <f>LOG10(AR21)</f>
        <v>-1.530177984021837</v>
      </c>
      <c r="AT21" s="3">
        <f t="shared" si="14"/>
        <v>0.027371196796132015</v>
      </c>
      <c r="AU21" s="3">
        <f t="shared" si="15"/>
        <v>-1.5627062127983993</v>
      </c>
      <c r="AV21" s="3">
        <f>-LN(1-AR21)</f>
        <v>0.029943876373072074</v>
      </c>
      <c r="AW21" s="3">
        <f>LOG10(AV21)</f>
        <v>-1.5236919789274124</v>
      </c>
      <c r="AZ21" s="3">
        <v>0.907</v>
      </c>
      <c r="BB21">
        <f t="shared" si="3"/>
        <v>0.8900000000000001</v>
      </c>
      <c r="BC21">
        <v>2</v>
      </c>
      <c r="BJ21" s="5">
        <v>2.3751557858288814</v>
      </c>
      <c r="BK21" s="5">
        <v>3.5404594489956622</v>
      </c>
      <c r="BO21">
        <f t="shared" si="1"/>
        <v>3.1000000000000014</v>
      </c>
      <c r="BP21">
        <v>5</v>
      </c>
    </row>
    <row r="22" spans="1:68" ht="12.75">
      <c r="A22" t="s">
        <v>525</v>
      </c>
      <c r="B22">
        <v>21</v>
      </c>
      <c r="C22">
        <v>170</v>
      </c>
      <c r="D22">
        <v>68</v>
      </c>
      <c r="F22" t="s">
        <v>525</v>
      </c>
      <c r="G22" t="s">
        <v>420</v>
      </c>
      <c r="H22">
        <v>3.94</v>
      </c>
      <c r="I22">
        <v>15.7</v>
      </c>
      <c r="J22">
        <v>14</v>
      </c>
      <c r="K22" s="3">
        <f t="shared" si="2"/>
        <v>1.1214285714285714</v>
      </c>
      <c r="L22" s="3">
        <v>0.953</v>
      </c>
      <c r="M22" s="3">
        <f t="shared" si="16"/>
        <v>-0.020907099361673613</v>
      </c>
      <c r="N22" s="3"/>
      <c r="O22" s="3"/>
      <c r="P22" s="3">
        <f t="shared" si="17"/>
        <v>3.0576076772720775</v>
      </c>
      <c r="Q22" s="3">
        <f t="shared" si="18"/>
        <v>0.4853817601716629</v>
      </c>
      <c r="R22" s="3"/>
      <c r="S22" s="3"/>
      <c r="T22" s="3"/>
      <c r="U22" t="s">
        <v>525</v>
      </c>
      <c r="V22" s="3">
        <v>0.411</v>
      </c>
      <c r="W22" s="3">
        <f t="shared" si="19"/>
        <v>-0.38615817812393083</v>
      </c>
      <c r="X22" s="3"/>
      <c r="Y22" s="3"/>
      <c r="Z22" s="3">
        <f t="shared" si="20"/>
        <v>0.5293290953305504</v>
      </c>
      <c r="AA22" s="3">
        <f t="shared" si="21"/>
        <v>-0.27627423373549476</v>
      </c>
      <c r="AB22" s="3"/>
      <c r="AC22" s="3"/>
      <c r="AE22" t="s">
        <v>525</v>
      </c>
      <c r="AF22" s="3">
        <v>0.423</v>
      </c>
      <c r="AG22" s="3">
        <f t="shared" si="22"/>
        <v>-0.37365963262495766</v>
      </c>
      <c r="AH22" s="3"/>
      <c r="AI22" s="3"/>
      <c r="AJ22" s="3">
        <f t="shared" si="23"/>
        <v>0.5499130124740376</v>
      </c>
      <c r="AK22" s="3">
        <f t="shared" si="24"/>
        <v>-0.25970600357906326</v>
      </c>
      <c r="AL22" s="3"/>
      <c r="AM22" s="3"/>
      <c r="AO22" t="s">
        <v>525</v>
      </c>
      <c r="AP22" s="3">
        <v>0.119</v>
      </c>
      <c r="AQ22" s="3">
        <f t="shared" si="13"/>
        <v>-0.9244530386074692</v>
      </c>
      <c r="AR22" s="3"/>
      <c r="AS22" s="3"/>
      <c r="AT22" s="3">
        <f t="shared" si="14"/>
        <v>0.1266976530459575</v>
      </c>
      <c r="AU22" s="3">
        <f t="shared" si="15"/>
        <v>-0.8972314299360564</v>
      </c>
      <c r="AV22" s="3"/>
      <c r="AW22" s="3"/>
      <c r="AZ22" s="3">
        <v>0.909</v>
      </c>
      <c r="BB22">
        <f t="shared" si="3"/>
        <v>0.9000000000000001</v>
      </c>
      <c r="BC22">
        <v>1</v>
      </c>
      <c r="BJ22" s="5">
        <v>2.3968957724652875</v>
      </c>
      <c r="BK22" s="5">
        <v>3.575550768806932</v>
      </c>
      <c r="BO22">
        <f t="shared" si="1"/>
        <v>3.2000000000000015</v>
      </c>
      <c r="BP22">
        <v>3</v>
      </c>
    </row>
    <row r="23" spans="1:68" ht="12.75">
      <c r="A23" t="s">
        <v>525</v>
      </c>
      <c r="B23">
        <v>21</v>
      </c>
      <c r="C23">
        <v>170</v>
      </c>
      <c r="D23">
        <v>68</v>
      </c>
      <c r="F23" t="s">
        <v>525</v>
      </c>
      <c r="G23" t="s">
        <v>365</v>
      </c>
      <c r="H23">
        <v>5.19</v>
      </c>
      <c r="I23">
        <v>16.2</v>
      </c>
      <c r="J23">
        <v>14</v>
      </c>
      <c r="K23" s="3">
        <f t="shared" si="2"/>
        <v>1.157142857142857</v>
      </c>
      <c r="L23" s="3">
        <v>0.9790000000000001</v>
      </c>
      <c r="M23" s="3">
        <f t="shared" si="16"/>
        <v>-0.009217308196862133</v>
      </c>
      <c r="N23" s="3">
        <f>AVERAGE(L22:L23)</f>
        <v>0.966</v>
      </c>
      <c r="O23" s="3">
        <f>LOG10(N23)</f>
        <v>-0.01502287358450667</v>
      </c>
      <c r="P23" s="3">
        <f t="shared" si="17"/>
        <v>3.8632328412587187</v>
      </c>
      <c r="Q23" s="3">
        <f t="shared" si="18"/>
        <v>0.5869508843359679</v>
      </c>
      <c r="R23" s="3">
        <f>-LN(1-N23)</f>
        <v>3.381394754365975</v>
      </c>
      <c r="S23" s="3">
        <f>LOG10(R23)</f>
        <v>0.529095874591639</v>
      </c>
      <c r="T23" s="3"/>
      <c r="U23" t="s">
        <v>525</v>
      </c>
      <c r="V23" s="3">
        <v>0.449</v>
      </c>
      <c r="W23" s="3">
        <f t="shared" si="19"/>
        <v>-0.3477536589966768</v>
      </c>
      <c r="X23" s="3">
        <f>AVERAGE(V22:V23)</f>
        <v>0.43</v>
      </c>
      <c r="Y23" s="3">
        <f>LOG10(X23)</f>
        <v>-0.36653154442041347</v>
      </c>
      <c r="Z23" s="3">
        <f t="shared" si="20"/>
        <v>0.5960204698292226</v>
      </c>
      <c r="AA23" s="3">
        <f t="shared" si="21"/>
        <v>-0.22473882451946753</v>
      </c>
      <c r="AB23" s="3">
        <f>-LN(1-X23)</f>
        <v>0.5621189181535411</v>
      </c>
      <c r="AC23" s="3">
        <f>LOG10(AB23)</f>
        <v>-0.2501717982483658</v>
      </c>
      <c r="AE23" t="s">
        <v>525</v>
      </c>
      <c r="AF23" s="3">
        <v>0.488</v>
      </c>
      <c r="AG23" s="3">
        <f t="shared" si="22"/>
        <v>-0.3115801779972894</v>
      </c>
      <c r="AH23" s="3">
        <f>AVERAGE(AF22:AF23)</f>
        <v>0.4555</v>
      </c>
      <c r="AI23" s="3">
        <f>LOG10(AH23)</f>
        <v>-0.3415116186909829</v>
      </c>
      <c r="AJ23" s="3">
        <f t="shared" si="23"/>
        <v>0.6694306539426292</v>
      </c>
      <c r="AK23" s="3">
        <f t="shared" si="24"/>
        <v>-0.17429440471603175</v>
      </c>
      <c r="AL23" s="3">
        <f>-LN(1-AH23)</f>
        <v>0.607887336609122</v>
      </c>
      <c r="AM23" s="3">
        <f>LOG10(AL23)</f>
        <v>-0.2161769036595856</v>
      </c>
      <c r="AO23" t="s">
        <v>525</v>
      </c>
      <c r="AP23" s="3">
        <v>0.042</v>
      </c>
      <c r="AQ23" s="3">
        <f t="shared" si="13"/>
        <v>-1.3767507096020994</v>
      </c>
      <c r="AR23" s="3">
        <f>AVERAGE(AP22:AP23)</f>
        <v>0.0805</v>
      </c>
      <c r="AS23" s="3">
        <f>LOG10(AR23)</f>
        <v>-1.0942041196321315</v>
      </c>
      <c r="AT23" s="3">
        <f t="shared" si="14"/>
        <v>0.04290750101127654</v>
      </c>
      <c r="AU23" s="3">
        <f t="shared" si="15"/>
        <v>-1.3674667786068497</v>
      </c>
      <c r="AV23" s="3">
        <f>-LN(1-AR23)</f>
        <v>0.0839252349377613</v>
      </c>
      <c r="AW23" s="3">
        <f>LOG10(AV23)</f>
        <v>-1.0761074343274266</v>
      </c>
      <c r="AZ23" s="3">
        <v>0.9109999999999999</v>
      </c>
      <c r="BB23">
        <f t="shared" si="3"/>
        <v>0.9100000000000001</v>
      </c>
      <c r="BC23">
        <v>4</v>
      </c>
      <c r="BJ23" s="5">
        <v>2.4191189092499963</v>
      </c>
      <c r="BK23" s="5">
        <v>3.575550768806932</v>
      </c>
      <c r="BO23">
        <f t="shared" si="1"/>
        <v>3.3000000000000016</v>
      </c>
      <c r="BP23">
        <v>4</v>
      </c>
    </row>
    <row r="24" spans="1:68" ht="12.75">
      <c r="A24" t="s">
        <v>526</v>
      </c>
      <c r="B24">
        <v>48</v>
      </c>
      <c r="C24">
        <v>155</v>
      </c>
      <c r="D24">
        <v>70.5</v>
      </c>
      <c r="F24" t="s">
        <v>526</v>
      </c>
      <c r="G24" t="s">
        <v>588</v>
      </c>
      <c r="H24">
        <v>3.77</v>
      </c>
      <c r="I24">
        <v>14.1</v>
      </c>
      <c r="J24">
        <v>14</v>
      </c>
      <c r="K24" s="3">
        <f t="shared" si="2"/>
        <v>1.0071428571428571</v>
      </c>
      <c r="L24" s="3">
        <v>0.977</v>
      </c>
      <c r="M24" s="3">
        <f t="shared" si="16"/>
        <v>-0.010105436281226938</v>
      </c>
      <c r="N24" s="3"/>
      <c r="O24" s="3"/>
      <c r="P24" s="3">
        <f t="shared" si="17"/>
        <v>3.7722610630529863</v>
      </c>
      <c r="Q24" s="3">
        <f t="shared" si="18"/>
        <v>0.5766017408839608</v>
      </c>
      <c r="R24" s="3"/>
      <c r="S24" s="3"/>
      <c r="T24" s="3"/>
      <c r="U24" t="s">
        <v>526</v>
      </c>
      <c r="V24" s="3">
        <v>0.39399999999999996</v>
      </c>
      <c r="W24" s="3">
        <f t="shared" si="19"/>
        <v>-0.4045037781744259</v>
      </c>
      <c r="X24" s="3"/>
      <c r="Y24" s="3"/>
      <c r="Z24" s="3">
        <f t="shared" si="20"/>
        <v>0.5008752929128224</v>
      </c>
      <c r="AA24" s="3">
        <f t="shared" si="21"/>
        <v>-0.3002703905829318</v>
      </c>
      <c r="AB24" s="3"/>
      <c r="AC24" s="3"/>
      <c r="AE24" t="s">
        <v>526</v>
      </c>
      <c r="AF24" s="3">
        <v>0.466</v>
      </c>
      <c r="AG24" s="3">
        <f t="shared" si="22"/>
        <v>-0.3316140833099998</v>
      </c>
      <c r="AH24" s="3"/>
      <c r="AI24" s="3"/>
      <c r="AJ24" s="3">
        <f t="shared" si="23"/>
        <v>0.6273594400219422</v>
      </c>
      <c r="AK24" s="3">
        <f t="shared" si="24"/>
        <v>-0.20248356269288822</v>
      </c>
      <c r="AL24" s="3"/>
      <c r="AM24" s="3"/>
      <c r="AO24" t="s">
        <v>526</v>
      </c>
      <c r="AP24" s="3">
        <v>0.117</v>
      </c>
      <c r="AQ24" s="3">
        <f t="shared" si="13"/>
        <v>-0.9318141382538383</v>
      </c>
      <c r="AR24" s="3"/>
      <c r="AS24" s="3"/>
      <c r="AT24" s="3">
        <f t="shared" si="14"/>
        <v>0.12443007837817703</v>
      </c>
      <c r="AU24" s="3">
        <f t="shared" si="15"/>
        <v>-0.9050746253148068</v>
      </c>
      <c r="AV24" s="3"/>
      <c r="AW24" s="3"/>
      <c r="AZ24" s="3">
        <v>0.917</v>
      </c>
      <c r="BB24">
        <f t="shared" si="3"/>
        <v>0.9200000000000002</v>
      </c>
      <c r="BC24">
        <v>6</v>
      </c>
      <c r="BJ24" s="5">
        <v>2.4889146711855394</v>
      </c>
      <c r="BK24" s="5">
        <v>3.575550768806932</v>
      </c>
      <c r="BO24">
        <f t="shared" si="1"/>
        <v>3.4000000000000017</v>
      </c>
      <c r="BP24">
        <v>6</v>
      </c>
    </row>
    <row r="25" spans="1:68" ht="12.75">
      <c r="A25" t="s">
        <v>526</v>
      </c>
      <c r="B25">
        <v>48</v>
      </c>
      <c r="C25">
        <v>155</v>
      </c>
      <c r="D25">
        <v>70.5</v>
      </c>
      <c r="F25" t="s">
        <v>526</v>
      </c>
      <c r="G25" t="s">
        <v>589</v>
      </c>
      <c r="H25">
        <v>2.59</v>
      </c>
      <c r="I25">
        <v>6.3</v>
      </c>
      <c r="J25">
        <v>14</v>
      </c>
      <c r="K25" s="3">
        <f t="shared" si="2"/>
        <v>0.45</v>
      </c>
      <c r="L25" s="3">
        <v>0.7090000000000001</v>
      </c>
      <c r="M25" s="3">
        <f t="shared" si="16"/>
        <v>-0.1493537648169334</v>
      </c>
      <c r="N25" s="3"/>
      <c r="O25" s="3"/>
      <c r="P25" s="3">
        <f t="shared" si="17"/>
        <v>1.2344320118106449</v>
      </c>
      <c r="Q25" s="3">
        <f t="shared" si="18"/>
        <v>0.0914671755084731</v>
      </c>
      <c r="R25" s="3"/>
      <c r="S25" s="3"/>
      <c r="T25" s="3"/>
      <c r="U25" t="s">
        <v>526</v>
      </c>
      <c r="V25" s="3">
        <v>0.18</v>
      </c>
      <c r="W25" s="3">
        <f t="shared" si="19"/>
        <v>-0.7447274948966939</v>
      </c>
      <c r="X25" s="3"/>
      <c r="Y25" s="3"/>
      <c r="Z25" s="3">
        <f t="shared" si="20"/>
        <v>0.19845093872383818</v>
      </c>
      <c r="AA25" s="3">
        <f t="shared" si="21"/>
        <v>-0.7023468424276733</v>
      </c>
      <c r="AB25" s="3"/>
      <c r="AC25" s="3"/>
      <c r="AE25" t="s">
        <v>526</v>
      </c>
      <c r="AF25" s="3">
        <v>0.212</v>
      </c>
      <c r="AG25" s="3">
        <f t="shared" si="22"/>
        <v>-0.6736641390712486</v>
      </c>
      <c r="AH25" s="3"/>
      <c r="AI25" s="3"/>
      <c r="AJ25" s="3">
        <f t="shared" si="23"/>
        <v>0.2382571891242579</v>
      </c>
      <c r="AK25" s="3">
        <f t="shared" si="24"/>
        <v>-0.6229539861780298</v>
      </c>
      <c r="AL25" s="3"/>
      <c r="AM25" s="3"/>
      <c r="AO25" t="s">
        <v>526</v>
      </c>
      <c r="AP25" s="3">
        <v>0.317</v>
      </c>
      <c r="AQ25" s="3">
        <f t="shared" si="13"/>
        <v>-0.4989407377822485</v>
      </c>
      <c r="AR25" s="3"/>
      <c r="AS25" s="3"/>
      <c r="AT25" s="3">
        <f t="shared" si="14"/>
        <v>0.3812604194113469</v>
      </c>
      <c r="AU25" s="3">
        <f t="shared" si="15"/>
        <v>-0.4187782787113367</v>
      </c>
      <c r="AV25" s="3"/>
      <c r="AW25" s="3"/>
      <c r="AZ25" s="3">
        <v>0.9179999999999999</v>
      </c>
      <c r="BB25">
        <f t="shared" si="3"/>
        <v>0.9300000000000002</v>
      </c>
      <c r="BC25">
        <v>7</v>
      </c>
      <c r="BJ25" s="5">
        <v>2.501036031717883</v>
      </c>
      <c r="BK25" s="5">
        <v>3.6119184129778072</v>
      </c>
      <c r="BO25">
        <f t="shared" si="1"/>
        <v>3.5000000000000018</v>
      </c>
      <c r="BP25">
        <v>2</v>
      </c>
    </row>
    <row r="26" spans="1:68" ht="12.75">
      <c r="A26" t="s">
        <v>526</v>
      </c>
      <c r="B26">
        <v>48</v>
      </c>
      <c r="C26">
        <v>155</v>
      </c>
      <c r="D26">
        <v>70.5</v>
      </c>
      <c r="F26" t="s">
        <v>526</v>
      </c>
      <c r="G26" t="s">
        <v>590</v>
      </c>
      <c r="H26">
        <v>5.14</v>
      </c>
      <c r="I26">
        <v>12.7</v>
      </c>
      <c r="J26">
        <v>14</v>
      </c>
      <c r="K26" s="3">
        <f t="shared" si="2"/>
        <v>0.9071428571428571</v>
      </c>
      <c r="L26" s="3">
        <v>0.9690000000000001</v>
      </c>
      <c r="M26" s="3">
        <f t="shared" si="16"/>
        <v>-0.013676222949234634</v>
      </c>
      <c r="N26" s="3"/>
      <c r="O26" s="3"/>
      <c r="P26" s="3">
        <f t="shared" si="17"/>
        <v>3.4737680744969937</v>
      </c>
      <c r="Q26" s="3">
        <f t="shared" si="18"/>
        <v>0.5408008194857193</v>
      </c>
      <c r="R26" s="3"/>
      <c r="S26" s="3"/>
      <c r="T26" s="3"/>
      <c r="U26" t="s">
        <v>526</v>
      </c>
      <c r="V26" s="3">
        <v>0.6859999999999999</v>
      </c>
      <c r="W26" s="3">
        <f t="shared" si="19"/>
        <v>-0.1636758842932483</v>
      </c>
      <c r="X26" s="3"/>
      <c r="Y26" s="3"/>
      <c r="Z26" s="3">
        <f t="shared" si="20"/>
        <v>1.1583622930738835</v>
      </c>
      <c r="AA26" s="3">
        <f t="shared" si="21"/>
        <v>0.06384441196039838</v>
      </c>
      <c r="AB26" s="3"/>
      <c r="AC26" s="3"/>
      <c r="AE26" t="s">
        <v>526</v>
      </c>
      <c r="AF26" s="3">
        <v>0.258</v>
      </c>
      <c r="AG26" s="3">
        <f t="shared" si="22"/>
        <v>-0.5883802940367698</v>
      </c>
      <c r="AH26" s="3"/>
      <c r="AI26" s="3"/>
      <c r="AJ26" s="3">
        <f t="shared" si="23"/>
        <v>0.2984060358147566</v>
      </c>
      <c r="AK26" s="3">
        <f t="shared" si="24"/>
        <v>-0.5251923967002673</v>
      </c>
      <c r="AL26" s="3"/>
      <c r="AM26" s="3"/>
      <c r="AO26" t="s">
        <v>526</v>
      </c>
      <c r="AP26" s="3">
        <v>0.025</v>
      </c>
      <c r="AQ26" s="3">
        <f t="shared" si="13"/>
        <v>-1.6020599913279623</v>
      </c>
      <c r="AR26" s="3"/>
      <c r="AS26" s="3"/>
      <c r="AT26" s="3">
        <f t="shared" si="14"/>
        <v>0.025317807984289894</v>
      </c>
      <c r="AU26" s="3">
        <f t="shared" si="15"/>
        <v>-1.596573898241459</v>
      </c>
      <c r="AV26" s="3"/>
      <c r="AW26" s="3"/>
      <c r="AZ26" s="3">
        <v>0.9209999999999999</v>
      </c>
      <c r="BB26">
        <f t="shared" si="3"/>
        <v>0.9400000000000002</v>
      </c>
      <c r="BC26">
        <v>7</v>
      </c>
      <c r="BJ26" s="5">
        <v>2.5383074265151144</v>
      </c>
      <c r="BK26" s="5">
        <v>3.6119184129778072</v>
      </c>
      <c r="BO26">
        <f t="shared" si="1"/>
        <v>3.600000000000002</v>
      </c>
      <c r="BP26">
        <v>7</v>
      </c>
    </row>
    <row r="27" spans="1:68" ht="12.75">
      <c r="A27" t="s">
        <v>526</v>
      </c>
      <c r="B27">
        <v>48</v>
      </c>
      <c r="C27">
        <v>155</v>
      </c>
      <c r="D27">
        <v>70.5</v>
      </c>
      <c r="F27" t="s">
        <v>526</v>
      </c>
      <c r="G27" t="s">
        <v>591</v>
      </c>
      <c r="H27">
        <v>6.8</v>
      </c>
      <c r="I27">
        <v>13.3</v>
      </c>
      <c r="J27">
        <v>14</v>
      </c>
      <c r="K27" s="3">
        <f t="shared" si="2"/>
        <v>0.9500000000000001</v>
      </c>
      <c r="L27" s="3">
        <v>0.9790000000000001</v>
      </c>
      <c r="M27" s="3">
        <f t="shared" si="16"/>
        <v>-0.009217308196862133</v>
      </c>
      <c r="N27" s="3"/>
      <c r="O27" s="3"/>
      <c r="P27" s="3">
        <f t="shared" si="17"/>
        <v>3.8632328412587187</v>
      </c>
      <c r="Q27" s="3">
        <f t="shared" si="18"/>
        <v>0.5869508843359679</v>
      </c>
      <c r="R27" s="3"/>
      <c r="S27" s="3"/>
      <c r="T27" s="3"/>
      <c r="U27" t="s">
        <v>526</v>
      </c>
      <c r="V27" s="3">
        <v>0.8140000000000001</v>
      </c>
      <c r="W27" s="3">
        <f t="shared" si="19"/>
        <v>-0.08937559511079873</v>
      </c>
      <c r="X27" s="3"/>
      <c r="Y27" s="3"/>
      <c r="Z27" s="3">
        <f t="shared" si="20"/>
        <v>1.682008605268936</v>
      </c>
      <c r="AA27" s="3">
        <f t="shared" si="21"/>
        <v>0.22582821334730016</v>
      </c>
      <c r="AB27" s="3"/>
      <c r="AC27" s="3"/>
      <c r="AE27" t="s">
        <v>526</v>
      </c>
      <c r="AF27" s="3">
        <v>0.163</v>
      </c>
      <c r="AG27" s="3">
        <f t="shared" si="22"/>
        <v>-0.7878123955960422</v>
      </c>
      <c r="AH27" s="3"/>
      <c r="AI27" s="3"/>
      <c r="AJ27" s="3">
        <f t="shared" si="23"/>
        <v>0.17793120849266178</v>
      </c>
      <c r="AK27" s="3">
        <f t="shared" si="24"/>
        <v>-0.7497478715481769</v>
      </c>
      <c r="AL27" s="3"/>
      <c r="AM27" s="3"/>
      <c r="AO27" t="s">
        <v>526</v>
      </c>
      <c r="AP27" s="3">
        <v>0.002</v>
      </c>
      <c r="AQ27" s="3">
        <f t="shared" si="13"/>
        <v>-2.6989700043360187</v>
      </c>
      <c r="AR27" s="3"/>
      <c r="AS27" s="3"/>
      <c r="AT27" s="3">
        <f t="shared" si="14"/>
        <v>0.002002002670673079</v>
      </c>
      <c r="AU27" s="3">
        <f t="shared" si="15"/>
        <v>-2.698535347507146</v>
      </c>
      <c r="AV27" s="3"/>
      <c r="AW27" s="3"/>
      <c r="AZ27" s="3">
        <v>0.922</v>
      </c>
      <c r="BB27">
        <f t="shared" si="3"/>
        <v>0.9500000000000002</v>
      </c>
      <c r="BC27">
        <v>5</v>
      </c>
      <c r="BJ27" s="5">
        <v>2.551046452292546</v>
      </c>
      <c r="BK27" s="5">
        <v>3.6119184129778072</v>
      </c>
      <c r="BO27">
        <f t="shared" si="1"/>
        <v>3.700000000000002</v>
      </c>
      <c r="BP27">
        <v>1</v>
      </c>
    </row>
    <row r="28" spans="1:68" ht="12.75">
      <c r="A28" t="s">
        <v>526</v>
      </c>
      <c r="B28">
        <v>48</v>
      </c>
      <c r="C28">
        <v>155</v>
      </c>
      <c r="D28">
        <v>70.5</v>
      </c>
      <c r="F28" t="s">
        <v>526</v>
      </c>
      <c r="G28" t="s">
        <v>592</v>
      </c>
      <c r="H28">
        <v>5</v>
      </c>
      <c r="I28">
        <v>12</v>
      </c>
      <c r="J28">
        <v>14</v>
      </c>
      <c r="K28" s="3">
        <f t="shared" si="2"/>
        <v>0.8571428571428571</v>
      </c>
      <c r="L28" s="3">
        <v>0.958</v>
      </c>
      <c r="M28" s="3">
        <f t="shared" si="16"/>
        <v>-0.0186344909214556</v>
      </c>
      <c r="N28" s="3"/>
      <c r="O28" s="3"/>
      <c r="P28" s="3">
        <f t="shared" si="17"/>
        <v>3.170085660698768</v>
      </c>
      <c r="Q28" s="3">
        <f t="shared" si="18"/>
        <v>0.5010709976960349</v>
      </c>
      <c r="R28" s="3"/>
      <c r="S28" s="3"/>
      <c r="T28" s="3"/>
      <c r="U28" t="s">
        <v>526</v>
      </c>
      <c r="V28" s="3">
        <v>0.3</v>
      </c>
      <c r="W28" s="3">
        <f t="shared" si="19"/>
        <v>-0.5228787452803376</v>
      </c>
      <c r="X28" s="3"/>
      <c r="Y28" s="3"/>
      <c r="Z28" s="3">
        <f t="shared" si="20"/>
        <v>0.3566749439387324</v>
      </c>
      <c r="AA28" s="3">
        <f t="shared" si="21"/>
        <v>-0.44772739834696257</v>
      </c>
      <c r="AB28" s="3"/>
      <c r="AC28" s="3"/>
      <c r="AE28" t="s">
        <v>526</v>
      </c>
      <c r="AF28" s="3">
        <v>0.642</v>
      </c>
      <c r="AG28" s="3">
        <f t="shared" si="22"/>
        <v>-0.1924649719311467</v>
      </c>
      <c r="AH28" s="3"/>
      <c r="AI28" s="3"/>
      <c r="AJ28" s="3">
        <f t="shared" si="23"/>
        <v>1.027222292581437</v>
      </c>
      <c r="AK28" s="3">
        <f t="shared" si="24"/>
        <v>0.01166443580270948</v>
      </c>
      <c r="AL28" s="3"/>
      <c r="AM28" s="3"/>
      <c r="AO28" t="s">
        <v>526</v>
      </c>
      <c r="AP28" s="3">
        <v>0.02</v>
      </c>
      <c r="AQ28" s="3">
        <f t="shared" si="13"/>
        <v>-1.6989700043360187</v>
      </c>
      <c r="AR28" s="3"/>
      <c r="AS28" s="3"/>
      <c r="AT28" s="3">
        <f t="shared" si="14"/>
        <v>0.020202707317519466</v>
      </c>
      <c r="AU28" s="3">
        <f t="shared" si="15"/>
        <v>-1.6945904278665125</v>
      </c>
      <c r="AV28" s="3"/>
      <c r="AW28" s="3"/>
      <c r="AZ28" s="3">
        <v>0.922</v>
      </c>
      <c r="BB28">
        <f t="shared" si="3"/>
        <v>0.9600000000000002</v>
      </c>
      <c r="BC28">
        <v>10</v>
      </c>
      <c r="BJ28" s="5">
        <v>2.551046452292546</v>
      </c>
      <c r="BK28" s="5">
        <v>3.6496587409606582</v>
      </c>
      <c r="BO28">
        <f t="shared" si="1"/>
        <v>3.800000000000002</v>
      </c>
      <c r="BP28">
        <v>1</v>
      </c>
    </row>
    <row r="29" spans="1:68" ht="12.75">
      <c r="A29" t="s">
        <v>526</v>
      </c>
      <c r="B29">
        <v>48</v>
      </c>
      <c r="C29">
        <v>155</v>
      </c>
      <c r="D29">
        <v>70.5</v>
      </c>
      <c r="F29" t="s">
        <v>526</v>
      </c>
      <c r="G29" t="s">
        <v>593</v>
      </c>
      <c r="H29">
        <v>5.1</v>
      </c>
      <c r="I29">
        <v>16.3</v>
      </c>
      <c r="J29">
        <v>14</v>
      </c>
      <c r="K29" s="3">
        <f t="shared" si="2"/>
        <v>1.1642857142857144</v>
      </c>
      <c r="L29" s="3">
        <v>0.9790000000000001</v>
      </c>
      <c r="M29" s="3">
        <f t="shared" si="16"/>
        <v>-0.009217308196862133</v>
      </c>
      <c r="N29" s="3">
        <f>AVERAGE(L24:L29)</f>
        <v>0.9285000000000001</v>
      </c>
      <c r="O29" s="3">
        <f>LOG10(N29)</f>
        <v>-0.03221809192420073</v>
      </c>
      <c r="P29" s="3">
        <f t="shared" si="17"/>
        <v>3.8632328412587187</v>
      </c>
      <c r="Q29" s="3">
        <f t="shared" si="18"/>
        <v>0.5869508843359679</v>
      </c>
      <c r="R29" s="3">
        <f>-LN(1-N29)</f>
        <v>2.6380578292821766</v>
      </c>
      <c r="S29" s="3">
        <f>LOG10(R29)</f>
        <v>0.4212843115526002</v>
      </c>
      <c r="T29" s="3"/>
      <c r="U29" t="s">
        <v>526</v>
      </c>
      <c r="V29" s="3">
        <v>0.604</v>
      </c>
      <c r="W29" s="3">
        <f t="shared" si="19"/>
        <v>-0.2189630613788682</v>
      </c>
      <c r="X29" s="3">
        <f>AVERAGE(V24:V29)</f>
        <v>0.4963333333333333</v>
      </c>
      <c r="Y29" s="3">
        <f>LOG10(X29)</f>
        <v>-0.30422655696748635</v>
      </c>
      <c r="Z29" s="3">
        <f t="shared" si="20"/>
        <v>0.9263410677276565</v>
      </c>
      <c r="AA29" s="3">
        <f t="shared" si="21"/>
        <v>-0.033229081827768216</v>
      </c>
      <c r="AB29" s="3">
        <f>-LN(1-X29)</f>
        <v>0.6858406053775071</v>
      </c>
      <c r="AC29" s="3">
        <f>LOG10(AB29)</f>
        <v>-0.16377680593827593</v>
      </c>
      <c r="AE29" t="s">
        <v>526</v>
      </c>
      <c r="AF29" s="3">
        <v>0.322</v>
      </c>
      <c r="AG29" s="3">
        <f t="shared" si="22"/>
        <v>-0.4921441283041691</v>
      </c>
      <c r="AH29" s="3">
        <f>AVERAGE(AF24:AF29)</f>
        <v>0.3438333333333334</v>
      </c>
      <c r="AI29" s="3">
        <f>LOG10(AH29)</f>
        <v>-0.463652022410492</v>
      </c>
      <c r="AJ29" s="3">
        <f t="shared" si="23"/>
        <v>0.3886079910417416</v>
      </c>
      <c r="AK29" s="3">
        <f t="shared" si="24"/>
        <v>-0.41048827314012004</v>
      </c>
      <c r="AL29" s="3">
        <f>-LN(1-AH29)</f>
        <v>0.4213404572664547</v>
      </c>
      <c r="AM29" s="3">
        <f>LOG10(AL29)</f>
        <v>-0.37536683775425694</v>
      </c>
      <c r="AO29" t="s">
        <v>526</v>
      </c>
      <c r="AP29" s="3">
        <v>0.053</v>
      </c>
      <c r="AQ29" s="3">
        <f t="shared" si="13"/>
        <v>-1.275724130399211</v>
      </c>
      <c r="AR29" s="3">
        <f>AVERAGE(AP24:AP29)</f>
        <v>0.08900000000000001</v>
      </c>
      <c r="AS29" s="3">
        <f>LOG10(AR29)</f>
        <v>-1.0506099933550872</v>
      </c>
      <c r="AT29" s="3">
        <f t="shared" si="14"/>
        <v>0.054456185796058855</v>
      </c>
      <c r="AU29" s="3">
        <f t="shared" si="15"/>
        <v>-1.2639527806555244</v>
      </c>
      <c r="AV29" s="3">
        <f>-LN(1-AR29)</f>
        <v>0.09321238172217869</v>
      </c>
      <c r="AW29" s="3">
        <f>LOG10(AV29)</f>
        <v>-1.0305263949801464</v>
      </c>
      <c r="AZ29" s="3">
        <v>0.922</v>
      </c>
      <c r="BB29">
        <f t="shared" si="3"/>
        <v>0.9700000000000002</v>
      </c>
      <c r="BC29">
        <v>15</v>
      </c>
      <c r="BJ29" s="5">
        <v>2.551046452292546</v>
      </c>
      <c r="BK29" s="5">
        <v>3.7297014486341906</v>
      </c>
      <c r="BO29">
        <f t="shared" si="1"/>
        <v>3.900000000000002</v>
      </c>
      <c r="BP29">
        <v>4</v>
      </c>
    </row>
    <row r="30" spans="1:68" ht="12.75">
      <c r="A30" t="s">
        <v>527</v>
      </c>
      <c r="B30">
        <v>33</v>
      </c>
      <c r="C30">
        <v>145</v>
      </c>
      <c r="D30">
        <v>66</v>
      </c>
      <c r="F30" t="s">
        <v>527</v>
      </c>
      <c r="G30" t="s">
        <v>594</v>
      </c>
      <c r="H30">
        <v>3.68</v>
      </c>
      <c r="I30">
        <v>21</v>
      </c>
      <c r="J30">
        <v>14</v>
      </c>
      <c r="K30" s="3">
        <f t="shared" si="2"/>
        <v>1.5</v>
      </c>
      <c r="L30" s="3">
        <v>0.6970000000000001</v>
      </c>
      <c r="M30" s="3">
        <f t="shared" si="16"/>
        <v>-0.15676722190199052</v>
      </c>
      <c r="N30" s="3"/>
      <c r="O30" s="3"/>
      <c r="P30" s="3">
        <f t="shared" si="17"/>
        <v>1.194022473472768</v>
      </c>
      <c r="Q30" s="3">
        <f t="shared" si="18"/>
        <v>0.0770125010088956</v>
      </c>
      <c r="R30" s="3"/>
      <c r="S30" s="3"/>
      <c r="T30" s="3"/>
      <c r="U30" t="s">
        <v>527</v>
      </c>
      <c r="V30" s="3">
        <v>0.137</v>
      </c>
      <c r="W30" s="3">
        <f t="shared" si="19"/>
        <v>-0.8632794328435931</v>
      </c>
      <c r="X30" s="3"/>
      <c r="Y30" s="3"/>
      <c r="Z30" s="3">
        <f t="shared" si="20"/>
        <v>0.14734058789870913</v>
      </c>
      <c r="AA30" s="3">
        <f t="shared" si="21"/>
        <v>-0.8316776016139166</v>
      </c>
      <c r="AB30" s="3"/>
      <c r="AC30" s="3"/>
      <c r="AE30" t="s">
        <v>527</v>
      </c>
      <c r="AF30" s="3">
        <v>0.442</v>
      </c>
      <c r="AG30" s="3">
        <f t="shared" si="22"/>
        <v>-0.3545777306509081</v>
      </c>
      <c r="AH30" s="3"/>
      <c r="AI30" s="3"/>
      <c r="AJ30" s="3">
        <f t="shared" si="23"/>
        <v>0.583396316600826</v>
      </c>
      <c r="AK30" s="3">
        <f t="shared" si="24"/>
        <v>-0.23403631721803286</v>
      </c>
      <c r="AL30" s="3"/>
      <c r="AM30" s="3"/>
      <c r="AO30" t="s">
        <v>527</v>
      </c>
      <c r="AP30" s="3">
        <v>0.118</v>
      </c>
      <c r="AQ30" s="3">
        <f t="shared" si="13"/>
        <v>-0.9281179926938745</v>
      </c>
      <c r="AR30" s="3"/>
      <c r="AS30" s="3"/>
      <c r="AT30" s="3">
        <f t="shared" si="14"/>
        <v>0.12556322297534575</v>
      </c>
      <c r="AU30" s="3">
        <f t="shared" si="15"/>
        <v>-0.9011375452940428</v>
      </c>
      <c r="AV30" s="3"/>
      <c r="AW30" s="3"/>
      <c r="AZ30" s="3">
        <v>0.925</v>
      </c>
      <c r="BB30">
        <f t="shared" si="3"/>
        <v>0.9800000000000002</v>
      </c>
      <c r="BC30">
        <v>7</v>
      </c>
      <c r="BJ30" s="5">
        <v>2.590267165445827</v>
      </c>
      <c r="BK30" s="5">
        <v>3.7722610630529863</v>
      </c>
      <c r="BO30">
        <f t="shared" si="1"/>
        <v>4.000000000000002</v>
      </c>
      <c r="BP30">
        <v>1</v>
      </c>
    </row>
    <row r="31" spans="1:68" ht="12.75">
      <c r="A31" t="s">
        <v>527</v>
      </c>
      <c r="B31">
        <v>33</v>
      </c>
      <c r="C31">
        <v>145</v>
      </c>
      <c r="D31">
        <v>66</v>
      </c>
      <c r="F31" t="s">
        <v>527</v>
      </c>
      <c r="G31" t="s">
        <v>595</v>
      </c>
      <c r="H31">
        <v>3.9</v>
      </c>
      <c r="I31">
        <v>17</v>
      </c>
      <c r="J31">
        <v>14</v>
      </c>
      <c r="K31" s="3">
        <f t="shared" si="2"/>
        <v>1.2142857142857142</v>
      </c>
      <c r="L31" s="3">
        <v>0.9209999999999999</v>
      </c>
      <c r="M31" s="3">
        <f t="shared" si="16"/>
        <v>-0.035740369803151116</v>
      </c>
      <c r="N31" s="3"/>
      <c r="O31" s="3"/>
      <c r="P31" s="3">
        <f t="shared" si="17"/>
        <v>2.5383074265151144</v>
      </c>
      <c r="Q31" s="3">
        <f t="shared" si="18"/>
        <v>0.40454422041965593</v>
      </c>
      <c r="R31" s="3"/>
      <c r="S31" s="3"/>
      <c r="T31" s="3"/>
      <c r="U31" t="s">
        <v>527</v>
      </c>
      <c r="V31" s="3">
        <v>0.642</v>
      </c>
      <c r="W31" s="3">
        <f t="shared" si="19"/>
        <v>-0.1924649719311467</v>
      </c>
      <c r="X31" s="3"/>
      <c r="Y31" s="3"/>
      <c r="Z31" s="3">
        <f t="shared" si="20"/>
        <v>1.027222292581437</v>
      </c>
      <c r="AA31" s="3">
        <f t="shared" si="21"/>
        <v>0.01166443580270948</v>
      </c>
      <c r="AB31" s="3"/>
      <c r="AC31" s="3"/>
      <c r="AE31" t="s">
        <v>527</v>
      </c>
      <c r="AF31" s="3">
        <v>0.187</v>
      </c>
      <c r="AG31" s="3">
        <f t="shared" si="22"/>
        <v>-0.728158393463501</v>
      </c>
      <c r="AH31" s="3"/>
      <c r="AI31" s="3"/>
      <c r="AJ31" s="3">
        <f t="shared" si="23"/>
        <v>0.20702416943432655</v>
      </c>
      <c r="AK31" s="3">
        <f t="shared" si="24"/>
        <v>-0.6839789490396572</v>
      </c>
      <c r="AL31" s="3"/>
      <c r="AM31" s="3"/>
      <c r="AO31" t="s">
        <v>527</v>
      </c>
      <c r="AP31" s="3">
        <v>0.092</v>
      </c>
      <c r="AQ31" s="3">
        <f t="shared" si="13"/>
        <v>-1.0362121726544447</v>
      </c>
      <c r="AR31" s="3"/>
      <c r="AS31" s="3"/>
      <c r="AT31" s="3">
        <f t="shared" si="14"/>
        <v>0.09651090038084373</v>
      </c>
      <c r="AU31" s="3">
        <f t="shared" si="15"/>
        <v>-1.0154236326883044</v>
      </c>
      <c r="AV31" s="3"/>
      <c r="AW31" s="3"/>
      <c r="AZ31" s="3">
        <v>0.927</v>
      </c>
      <c r="BB31">
        <f t="shared" si="3"/>
        <v>0.9900000000000002</v>
      </c>
      <c r="BC31">
        <v>5</v>
      </c>
      <c r="BJ31" s="5">
        <v>2.6172958378337468</v>
      </c>
      <c r="BK31" s="5">
        <v>3.8632328412587187</v>
      </c>
      <c r="BO31">
        <f t="shared" si="1"/>
        <v>4.100000000000001</v>
      </c>
      <c r="BP31">
        <v>0</v>
      </c>
    </row>
    <row r="32" spans="1:68" ht="12.75">
      <c r="A32" t="s">
        <v>527</v>
      </c>
      <c r="B32">
        <v>33</v>
      </c>
      <c r="C32">
        <v>145</v>
      </c>
      <c r="D32">
        <v>66</v>
      </c>
      <c r="F32" t="s">
        <v>527</v>
      </c>
      <c r="G32" t="s">
        <v>433</v>
      </c>
      <c r="H32">
        <v>5.19</v>
      </c>
      <c r="I32">
        <v>20.3</v>
      </c>
      <c r="J32">
        <v>14</v>
      </c>
      <c r="K32" s="3">
        <f t="shared" si="2"/>
        <v>1.45</v>
      </c>
      <c r="L32" s="3">
        <v>0.9329999999999999</v>
      </c>
      <c r="M32" s="3">
        <f t="shared" si="16"/>
        <v>-0.030118356253500088</v>
      </c>
      <c r="N32" s="3"/>
      <c r="O32" s="3"/>
      <c r="P32" s="3">
        <f t="shared" si="17"/>
        <v>2.70306265959117</v>
      </c>
      <c r="Q32" s="3">
        <f t="shared" si="18"/>
        <v>0.43185611317903344</v>
      </c>
      <c r="R32" s="3"/>
      <c r="S32" s="3"/>
      <c r="T32" s="3"/>
      <c r="U32" t="s">
        <v>527</v>
      </c>
      <c r="V32" s="3">
        <v>0.617</v>
      </c>
      <c r="W32" s="3">
        <f t="shared" si="19"/>
        <v>-0.20971483596675833</v>
      </c>
      <c r="X32" s="3"/>
      <c r="Y32" s="3"/>
      <c r="Z32" s="3">
        <f t="shared" si="20"/>
        <v>0.9597202898014909</v>
      </c>
      <c r="AA32" s="3">
        <f t="shared" si="21"/>
        <v>-0.01785532351895683</v>
      </c>
      <c r="AB32" s="3"/>
      <c r="AC32" s="3"/>
      <c r="AE32" t="s">
        <v>527</v>
      </c>
      <c r="AF32" s="3">
        <v>0.253</v>
      </c>
      <c r="AG32" s="3">
        <f t="shared" si="22"/>
        <v>-0.5968794788241821</v>
      </c>
      <c r="AH32" s="3"/>
      <c r="AI32" s="3"/>
      <c r="AJ32" s="3">
        <f t="shared" si="23"/>
        <v>0.29169009384931976</v>
      </c>
      <c r="AK32" s="3">
        <f t="shared" si="24"/>
        <v>-0.5350783197971232</v>
      </c>
      <c r="AL32" s="3"/>
      <c r="AM32" s="3"/>
      <c r="AO32" t="s">
        <v>527</v>
      </c>
      <c r="AP32" s="3">
        <v>0.063</v>
      </c>
      <c r="AQ32" s="3">
        <f t="shared" si="13"/>
        <v>-1.2006594505464183</v>
      </c>
      <c r="AR32" s="3"/>
      <c r="AS32" s="3"/>
      <c r="AT32" s="3">
        <f t="shared" si="14"/>
        <v>0.0650719967437148</v>
      </c>
      <c r="AU32" s="3">
        <f t="shared" si="15"/>
        <v>-1.1866058666721333</v>
      </c>
      <c r="AV32" s="3"/>
      <c r="AW32" s="3"/>
      <c r="AZ32" s="3">
        <v>0.9279999999999999</v>
      </c>
      <c r="BB32">
        <f t="shared" si="3"/>
        <v>1.0000000000000002</v>
      </c>
      <c r="BC32">
        <v>1</v>
      </c>
      <c r="BJ32" s="5">
        <v>2.631089159966081</v>
      </c>
      <c r="BK32" s="5">
        <v>3.8632328412587187</v>
      </c>
      <c r="BO32">
        <f t="shared" si="1"/>
        <v>4.200000000000001</v>
      </c>
      <c r="BP32">
        <v>0</v>
      </c>
    </row>
    <row r="33" spans="1:68" ht="12.75">
      <c r="A33" t="s">
        <v>527</v>
      </c>
      <c r="B33">
        <v>33</v>
      </c>
      <c r="C33">
        <v>145</v>
      </c>
      <c r="D33">
        <v>66</v>
      </c>
      <c r="F33" t="s">
        <v>527</v>
      </c>
      <c r="G33" t="s">
        <v>434</v>
      </c>
      <c r="H33">
        <v>4.05</v>
      </c>
      <c r="I33">
        <v>15.2</v>
      </c>
      <c r="J33">
        <v>14</v>
      </c>
      <c r="K33" s="3">
        <f t="shared" si="2"/>
        <v>1.0857142857142856</v>
      </c>
      <c r="L33" s="3">
        <v>0.935</v>
      </c>
      <c r="M33" s="3">
        <f t="shared" si="16"/>
        <v>-0.029188389127482204</v>
      </c>
      <c r="N33" s="3"/>
      <c r="O33" s="3"/>
      <c r="P33" s="3">
        <f t="shared" si="17"/>
        <v>2.733368009086501</v>
      </c>
      <c r="Q33" s="3">
        <f t="shared" si="18"/>
        <v>0.43669810719798097</v>
      </c>
      <c r="R33" s="3"/>
      <c r="S33" s="3"/>
      <c r="T33" s="3"/>
      <c r="U33" t="s">
        <v>527</v>
      </c>
      <c r="V33" s="3">
        <v>0.685</v>
      </c>
      <c r="W33" s="3">
        <f t="shared" si="19"/>
        <v>-0.16430942850757438</v>
      </c>
      <c r="X33" s="3"/>
      <c r="Y33" s="3"/>
      <c r="Z33" s="3">
        <f t="shared" si="20"/>
        <v>1.1551826401565042</v>
      </c>
      <c r="AA33" s="3">
        <f t="shared" si="21"/>
        <v>0.06265065378781629</v>
      </c>
      <c r="AB33" s="3"/>
      <c r="AC33" s="3"/>
      <c r="AE33" t="s">
        <v>527</v>
      </c>
      <c r="AF33" s="3">
        <v>0.125</v>
      </c>
      <c r="AG33" s="3">
        <f t="shared" si="22"/>
        <v>-0.9030899869919435</v>
      </c>
      <c r="AH33" s="3"/>
      <c r="AI33" s="3"/>
      <c r="AJ33" s="3">
        <f t="shared" si="23"/>
        <v>0.13353139262452263</v>
      </c>
      <c r="AK33" s="3">
        <f t="shared" si="24"/>
        <v>-0.8744166216336894</v>
      </c>
      <c r="AL33" s="3"/>
      <c r="AM33" s="3"/>
      <c r="AO33" t="s">
        <v>527</v>
      </c>
      <c r="AP33" s="3">
        <v>0.125</v>
      </c>
      <c r="AQ33" s="3">
        <f t="shared" si="13"/>
        <v>-0.9030899869919435</v>
      </c>
      <c r="AR33" s="3"/>
      <c r="AS33" s="3"/>
      <c r="AT33" s="3">
        <f t="shared" si="14"/>
        <v>0.13353139262452263</v>
      </c>
      <c r="AU33" s="3">
        <f t="shared" si="15"/>
        <v>-0.8744166216336894</v>
      </c>
      <c r="AV33" s="3"/>
      <c r="AW33" s="3"/>
      <c r="AZ33" s="3">
        <v>0.9279999999999999</v>
      </c>
      <c r="BJ33" s="5">
        <v>2.631089159966081</v>
      </c>
      <c r="BK33" s="5">
        <v>3.8632328412587187</v>
      </c>
      <c r="BO33">
        <f t="shared" si="1"/>
        <v>4.300000000000001</v>
      </c>
      <c r="BP33">
        <v>1</v>
      </c>
    </row>
    <row r="34" spans="1:68" ht="12.75">
      <c r="A34" t="s">
        <v>527</v>
      </c>
      <c r="B34">
        <v>33</v>
      </c>
      <c r="C34">
        <v>145</v>
      </c>
      <c r="D34">
        <v>66</v>
      </c>
      <c r="F34" t="s">
        <v>527</v>
      </c>
      <c r="G34" t="s">
        <v>435</v>
      </c>
      <c r="H34">
        <v>5.33</v>
      </c>
      <c r="I34">
        <v>16</v>
      </c>
      <c r="J34">
        <v>14</v>
      </c>
      <c r="K34" s="3">
        <f t="shared" si="2"/>
        <v>1.1428571428571428</v>
      </c>
      <c r="L34" s="3">
        <v>0.993</v>
      </c>
      <c r="M34" s="3">
        <f t="shared" si="16"/>
        <v>-0.0030507515046188263</v>
      </c>
      <c r="N34" s="3">
        <f>AVERAGE(L30:L34)</f>
        <v>0.8958</v>
      </c>
      <c r="O34" s="3">
        <f>LOG10(N34)</f>
        <v>-0.04778894189133094</v>
      </c>
      <c r="P34" s="3">
        <f t="shared" si="17"/>
        <v>4.9618451299268225</v>
      </c>
      <c r="Q34" s="3">
        <f t="shared" si="18"/>
        <v>0.695643204864075</v>
      </c>
      <c r="R34" s="3">
        <f>-LN(1-N34)</f>
        <v>2.261443149662871</v>
      </c>
      <c r="S34" s="3">
        <f>LOG10(R34)</f>
        <v>0.35438567450597247</v>
      </c>
      <c r="T34" s="3"/>
      <c r="U34" t="s">
        <v>527</v>
      </c>
      <c r="V34" s="3">
        <v>0.845</v>
      </c>
      <c r="W34" s="3">
        <f t="shared" si="19"/>
        <v>-0.07314329105030766</v>
      </c>
      <c r="X34" s="3">
        <f>AVERAGE(V30:V34)</f>
        <v>0.5852</v>
      </c>
      <c r="Y34" s="3">
        <f>LOG10(X34)</f>
        <v>-0.2326956825467267</v>
      </c>
      <c r="Z34" s="3">
        <f t="shared" si="20"/>
        <v>1.8643301620628903</v>
      </c>
      <c r="AA34" s="3">
        <f t="shared" si="21"/>
        <v>0.2705228258638555</v>
      </c>
      <c r="AB34" s="3">
        <f>-LN(1-X34)</f>
        <v>0.879958802626765</v>
      </c>
      <c r="AC34" s="3">
        <f>LOG10(AB34)</f>
        <v>-0.05553765990742437</v>
      </c>
      <c r="AE34" t="s">
        <v>527</v>
      </c>
      <c r="AF34" s="3">
        <v>0.148</v>
      </c>
      <c r="AG34" s="3">
        <f t="shared" si="22"/>
        <v>-0.8297382846050426</v>
      </c>
      <c r="AH34" s="3">
        <f>AVERAGE(AF30:AF34)</f>
        <v>0.231</v>
      </c>
      <c r="AI34" s="3">
        <f>LOG10(AH34)</f>
        <v>-0.6363880201078557</v>
      </c>
      <c r="AJ34" s="3">
        <f t="shared" si="23"/>
        <v>0.16016875215282134</v>
      </c>
      <c r="AK34" s="3">
        <f t="shared" si="24"/>
        <v>-0.7954222079228033</v>
      </c>
      <c r="AL34" s="3">
        <f>-LN(1-AH34)</f>
        <v>0.26266430947649305</v>
      </c>
      <c r="AM34" s="3">
        <f>LOG10(AL34)</f>
        <v>-0.5805989346385284</v>
      </c>
      <c r="AO34" t="s">
        <v>527</v>
      </c>
      <c r="AP34" s="3"/>
      <c r="AQ34" s="3"/>
      <c r="AR34" s="3">
        <f>AVERAGE(AP30:AP34)</f>
        <v>0.0995</v>
      </c>
      <c r="AS34" s="3">
        <f>LOG10(AR34)</f>
        <v>-1.0021769192542744</v>
      </c>
      <c r="AT34" s="3"/>
      <c r="AU34" s="3"/>
      <c r="AV34" s="3">
        <f>-LN(1-AR34)</f>
        <v>0.1048051143661263</v>
      </c>
      <c r="AW34" s="3">
        <f>LOG10(AV34)</f>
        <v>-0.9796175237760357</v>
      </c>
      <c r="AZ34" s="3">
        <v>0.93</v>
      </c>
      <c r="BJ34" s="5">
        <v>2.659260036932779</v>
      </c>
      <c r="BK34" s="5">
        <v>3.912023005428145</v>
      </c>
      <c r="BO34">
        <f t="shared" si="1"/>
        <v>4.4</v>
      </c>
      <c r="BP34">
        <v>0</v>
      </c>
    </row>
    <row r="35" spans="1:68" ht="12.75">
      <c r="A35" t="s">
        <v>528</v>
      </c>
      <c r="B35">
        <v>29</v>
      </c>
      <c r="C35">
        <v>175</v>
      </c>
      <c r="D35">
        <v>72</v>
      </c>
      <c r="F35" t="s">
        <v>528</v>
      </c>
      <c r="G35" t="s">
        <v>436</v>
      </c>
      <c r="H35">
        <v>3.41</v>
      </c>
      <c r="I35">
        <v>20.4</v>
      </c>
      <c r="J35">
        <v>14</v>
      </c>
      <c r="K35" s="3">
        <f t="shared" si="2"/>
        <v>1.457142857142857</v>
      </c>
      <c r="L35" s="3">
        <v>0.9540000000000001</v>
      </c>
      <c r="M35" s="3">
        <f t="shared" si="16"/>
        <v>-0.020451625295904847</v>
      </c>
      <c r="N35" s="3"/>
      <c r="O35" s="3"/>
      <c r="P35" s="3">
        <f t="shared" si="17"/>
        <v>3.0791138824930435</v>
      </c>
      <c r="Q35" s="3">
        <f t="shared" si="18"/>
        <v>0.4884257517884462</v>
      </c>
      <c r="R35" s="3"/>
      <c r="S35" s="3"/>
      <c r="T35" s="3"/>
      <c r="U35" t="s">
        <v>528</v>
      </c>
      <c r="V35" s="3">
        <v>0.321</v>
      </c>
      <c r="W35" s="3">
        <f t="shared" si="19"/>
        <v>-0.49349496759512784</v>
      </c>
      <c r="X35" s="3"/>
      <c r="Y35" s="3"/>
      <c r="Z35" s="3">
        <f t="shared" si="20"/>
        <v>0.3871341514234408</v>
      </c>
      <c r="AA35" s="3">
        <f t="shared" si="21"/>
        <v>-0.4121385152722865</v>
      </c>
      <c r="AB35" s="3"/>
      <c r="AC35" s="3"/>
      <c r="AE35" t="s">
        <v>528</v>
      </c>
      <c r="AF35" s="3">
        <v>0.443</v>
      </c>
      <c r="AG35" s="3">
        <f t="shared" si="22"/>
        <v>-0.3535962737769304</v>
      </c>
      <c r="AH35" s="3"/>
      <c r="AI35" s="3"/>
      <c r="AJ35" s="3">
        <f t="shared" si="23"/>
        <v>0.5851900390548531</v>
      </c>
      <c r="AK35" s="3">
        <f t="shared" si="24"/>
        <v>-0.23270307492596373</v>
      </c>
      <c r="AL35" s="3"/>
      <c r="AM35" s="3"/>
      <c r="AO35" t="s">
        <v>528</v>
      </c>
      <c r="AP35" s="3">
        <v>0.19</v>
      </c>
      <c r="AQ35" s="3">
        <f t="shared" si="13"/>
        <v>-0.721246399047171</v>
      </c>
      <c r="AR35" s="3"/>
      <c r="AS35" s="3"/>
      <c r="AT35" s="3">
        <f t="shared" si="14"/>
        <v>0.21072103131565253</v>
      </c>
      <c r="AU35" s="3">
        <f t="shared" si="15"/>
        <v>-0.6762921168431828</v>
      </c>
      <c r="AV35" s="3"/>
      <c r="AW35" s="3"/>
      <c r="AZ35" s="3">
        <v>0.9329999999999999</v>
      </c>
      <c r="BJ35" s="5">
        <v>2.70306265959117</v>
      </c>
      <c r="BK35" s="5">
        <v>4.017383521085971</v>
      </c>
      <c r="BO35">
        <f t="shared" si="1"/>
        <v>4.5</v>
      </c>
      <c r="BP35">
        <v>0</v>
      </c>
    </row>
    <row r="36" spans="1:68" ht="12.75">
      <c r="A36" t="s">
        <v>528</v>
      </c>
      <c r="B36">
        <v>29</v>
      </c>
      <c r="C36">
        <v>175</v>
      </c>
      <c r="D36">
        <v>72</v>
      </c>
      <c r="F36" t="s">
        <v>528</v>
      </c>
      <c r="G36" t="s">
        <v>437</v>
      </c>
      <c r="H36">
        <v>4.65</v>
      </c>
      <c r="I36">
        <v>26.2</v>
      </c>
      <c r="J36">
        <v>14</v>
      </c>
      <c r="K36" s="3">
        <f t="shared" si="2"/>
        <v>1.8714285714285714</v>
      </c>
      <c r="L36" s="3">
        <v>0.9740000000000001</v>
      </c>
      <c r="M36" s="3">
        <f t="shared" si="16"/>
        <v>-0.011441043121384433</v>
      </c>
      <c r="N36" s="3">
        <f>AVERAGE(L35:L36)</f>
        <v>0.9640000000000001</v>
      </c>
      <c r="O36" s="3">
        <f>LOG10(N36)</f>
        <v>-0.01592296609716919</v>
      </c>
      <c r="P36" s="3">
        <f t="shared" si="17"/>
        <v>3.6496587409606582</v>
      </c>
      <c r="Q36" s="3">
        <f t="shared" si="18"/>
        <v>0.5622522579231961</v>
      </c>
      <c r="R36" s="3">
        <f>-LN(1-N36)</f>
        <v>3.324236340526029</v>
      </c>
      <c r="S36" s="3">
        <f>LOG10(R36)</f>
        <v>0.5216918928911084</v>
      </c>
      <c r="T36" s="3"/>
      <c r="U36" t="s">
        <v>528</v>
      </c>
      <c r="V36" s="3">
        <v>0.332</v>
      </c>
      <c r="W36" s="3">
        <f t="shared" si="19"/>
        <v>-0.47886191629596375</v>
      </c>
      <c r="X36" s="3">
        <f>AVERAGE(V35:V36)</f>
        <v>0.3265</v>
      </c>
      <c r="Y36" s="3">
        <f>LOG10(X36)</f>
        <v>-0.4861168143889072</v>
      </c>
      <c r="Z36" s="3">
        <f t="shared" si="20"/>
        <v>0.40346710544549147</v>
      </c>
      <c r="AA36" s="3">
        <f t="shared" si="21"/>
        <v>-0.3941918674000408</v>
      </c>
      <c r="AB36" s="3">
        <f>-LN(1-X36)</f>
        <v>0.3952672831317184</v>
      </c>
      <c r="AC36" s="3">
        <f>LOG10(AB36)</f>
        <v>-0.4031091313777065</v>
      </c>
      <c r="AE36" t="s">
        <v>528</v>
      </c>
      <c r="AF36" s="3">
        <v>0.545</v>
      </c>
      <c r="AG36" s="3">
        <f t="shared" si="22"/>
        <v>-0.2636034977233575</v>
      </c>
      <c r="AH36" s="3">
        <f>AVERAGE(AF35:AF36)</f>
        <v>0.494</v>
      </c>
      <c r="AI36" s="3">
        <f>LOG10(AH36)</f>
        <v>-0.30627305107635305</v>
      </c>
      <c r="AJ36" s="3">
        <f t="shared" si="23"/>
        <v>0.7874578600311867</v>
      </c>
      <c r="AK36" s="3">
        <f t="shared" si="24"/>
        <v>-0.10377267772324811</v>
      </c>
      <c r="AL36" s="3">
        <f>-LN(1-AH36)</f>
        <v>0.6812186096946715</v>
      </c>
      <c r="AM36" s="3">
        <f>LOG10(AL36)</f>
        <v>-0.16671349638572763</v>
      </c>
      <c r="AO36" t="s">
        <v>528</v>
      </c>
      <c r="AP36" s="3">
        <v>0.047</v>
      </c>
      <c r="AQ36" s="3">
        <f t="shared" si="13"/>
        <v>-1.3279021420642825</v>
      </c>
      <c r="AR36" s="3">
        <f>AVERAGE(AP35:AP36)</f>
        <v>0.1185</v>
      </c>
      <c r="AS36" s="3">
        <f>LOG10(AR36)</f>
        <v>-0.9262816496538773</v>
      </c>
      <c r="AT36" s="3">
        <f t="shared" si="14"/>
        <v>0.04814037532793499</v>
      </c>
      <c r="AU36" s="3">
        <f t="shared" si="15"/>
        <v>-1.3174905280573401</v>
      </c>
      <c r="AV36" s="3">
        <f>-LN(1-AR36)</f>
        <v>0.1261302771442122</v>
      </c>
      <c r="AW36" s="3">
        <f>LOG10(AV36)</f>
        <v>-0.8991806499985053</v>
      </c>
      <c r="AZ36" s="3">
        <v>0.9329999999999999</v>
      </c>
      <c r="BJ36" s="5">
        <v>2.70306265959117</v>
      </c>
      <c r="BK36" s="5">
        <v>4.3428059215206</v>
      </c>
      <c r="BO36">
        <f t="shared" si="1"/>
        <v>4.6</v>
      </c>
      <c r="BP36">
        <v>1</v>
      </c>
    </row>
    <row r="37" spans="1:68" ht="12.75">
      <c r="A37" t="s">
        <v>358</v>
      </c>
      <c r="B37">
        <v>28</v>
      </c>
      <c r="C37">
        <v>158</v>
      </c>
      <c r="D37">
        <v>68.5</v>
      </c>
      <c r="F37" t="s">
        <v>358</v>
      </c>
      <c r="G37" t="s">
        <v>438</v>
      </c>
      <c r="H37">
        <v>3.41</v>
      </c>
      <c r="I37">
        <v>19.7</v>
      </c>
      <c r="J37">
        <v>14</v>
      </c>
      <c r="K37" s="3">
        <f t="shared" si="2"/>
        <v>1.407142857142857</v>
      </c>
      <c r="L37" s="3">
        <v>0.925</v>
      </c>
      <c r="M37" s="3">
        <f t="shared" si="16"/>
        <v>-0.03385826726096738</v>
      </c>
      <c r="N37" s="3"/>
      <c r="O37" s="3"/>
      <c r="P37" s="3">
        <f t="shared" si="17"/>
        <v>2.590267165445827</v>
      </c>
      <c r="Q37" s="3">
        <f t="shared" si="18"/>
        <v>0.41334456041135414</v>
      </c>
      <c r="R37" s="3"/>
      <c r="S37" s="3"/>
      <c r="T37" s="3"/>
      <c r="U37" t="s">
        <v>358</v>
      </c>
      <c r="V37" s="3">
        <v>0.409</v>
      </c>
      <c r="W37" s="3">
        <f t="shared" si="19"/>
        <v>-0.3882766919926582</v>
      </c>
      <c r="X37" s="3"/>
      <c r="Y37" s="3"/>
      <c r="Z37" s="3">
        <f t="shared" si="20"/>
        <v>0.525939261576039</v>
      </c>
      <c r="AA37" s="3">
        <f t="shared" si="21"/>
        <v>-0.27906440771977414</v>
      </c>
      <c r="AB37" s="3"/>
      <c r="AC37" s="3"/>
      <c r="AE37" t="s">
        <v>358</v>
      </c>
      <c r="AF37" s="3">
        <v>0.423</v>
      </c>
      <c r="AG37" s="3">
        <f t="shared" si="22"/>
        <v>-0.37365963262495766</v>
      </c>
      <c r="AH37" s="3"/>
      <c r="AI37" s="3"/>
      <c r="AJ37" s="3">
        <f t="shared" si="23"/>
        <v>0.5499130124740376</v>
      </c>
      <c r="AK37" s="3">
        <f t="shared" si="24"/>
        <v>-0.25970600357906326</v>
      </c>
      <c r="AL37" s="3"/>
      <c r="AM37" s="3"/>
      <c r="AO37" t="s">
        <v>358</v>
      </c>
      <c r="AP37" s="3">
        <v>0.093</v>
      </c>
      <c r="AQ37" s="3">
        <f t="shared" si="13"/>
        <v>-1.0315170514460648</v>
      </c>
      <c r="AR37" s="3"/>
      <c r="AS37" s="3"/>
      <c r="AT37" s="3">
        <f t="shared" si="14"/>
        <v>0.09761282886700043</v>
      </c>
      <c r="AU37" s="3">
        <f t="shared" si="15"/>
        <v>-1.010493100980738</v>
      </c>
      <c r="AV37" s="3"/>
      <c r="AW37" s="3"/>
      <c r="AZ37" s="3">
        <v>0.935</v>
      </c>
      <c r="BJ37" s="5">
        <v>2.733368009086501</v>
      </c>
      <c r="BK37" s="5">
        <v>4.605170185988091</v>
      </c>
      <c r="BO37">
        <f t="shared" si="1"/>
        <v>4.699999999999999</v>
      </c>
      <c r="BP37">
        <v>1</v>
      </c>
    </row>
    <row r="38" spans="1:68" ht="12.75">
      <c r="A38" t="s">
        <v>358</v>
      </c>
      <c r="B38">
        <v>28</v>
      </c>
      <c r="C38">
        <v>158</v>
      </c>
      <c r="D38">
        <v>68.5</v>
      </c>
      <c r="F38" t="s">
        <v>358</v>
      </c>
      <c r="G38" t="s">
        <v>439</v>
      </c>
      <c r="H38">
        <v>4.7</v>
      </c>
      <c r="I38">
        <v>22.1</v>
      </c>
      <c r="J38">
        <v>14</v>
      </c>
      <c r="K38" s="3">
        <f t="shared" si="2"/>
        <v>1.5785714285714287</v>
      </c>
      <c r="L38" s="3">
        <v>0.9359999999999999</v>
      </c>
      <c r="M38" s="3">
        <f t="shared" si="16"/>
        <v>-0.028724151261894797</v>
      </c>
      <c r="N38" s="3"/>
      <c r="O38" s="3"/>
      <c r="P38" s="3">
        <f t="shared" si="17"/>
        <v>2.7488721956224644</v>
      </c>
      <c r="Q38" s="3">
        <f t="shared" si="18"/>
        <v>0.43915454849162844</v>
      </c>
      <c r="R38" s="3"/>
      <c r="S38" s="3"/>
      <c r="T38" s="3"/>
      <c r="U38" t="s">
        <v>358</v>
      </c>
      <c r="V38" s="3">
        <v>0.528</v>
      </c>
      <c r="W38" s="3">
        <f t="shared" si="19"/>
        <v>-0.27736607746618774</v>
      </c>
      <c r="X38" s="3"/>
      <c r="Y38" s="3"/>
      <c r="Z38" s="3">
        <f t="shared" si="20"/>
        <v>0.7507762933965817</v>
      </c>
      <c r="AA38" s="3">
        <f t="shared" si="21"/>
        <v>-0.12448944916949235</v>
      </c>
      <c r="AB38" s="3"/>
      <c r="AC38" s="3"/>
      <c r="AE38" t="s">
        <v>358</v>
      </c>
      <c r="AF38" s="3">
        <v>0.359</v>
      </c>
      <c r="AG38" s="3">
        <f t="shared" si="22"/>
        <v>-0.44490555142168087</v>
      </c>
      <c r="AH38" s="3"/>
      <c r="AI38" s="3"/>
      <c r="AJ38" s="3">
        <f t="shared" si="23"/>
        <v>0.44472582206146705</v>
      </c>
      <c r="AK38" s="3">
        <f t="shared" si="24"/>
        <v>-0.3519076534311404</v>
      </c>
      <c r="AL38" s="3"/>
      <c r="AM38" s="3"/>
      <c r="AO38" t="s">
        <v>358</v>
      </c>
      <c r="AP38" s="3">
        <v>0.049</v>
      </c>
      <c r="AQ38" s="3">
        <f t="shared" si="13"/>
        <v>-1.3098039199714864</v>
      </c>
      <c r="AR38" s="3"/>
      <c r="AS38" s="3"/>
      <c r="AT38" s="3">
        <f t="shared" si="14"/>
        <v>0.05024121643674678</v>
      </c>
      <c r="AU38" s="3">
        <f t="shared" si="15"/>
        <v>-1.2989398540365613</v>
      </c>
      <c r="AV38" s="3"/>
      <c r="AW38" s="3"/>
      <c r="AZ38" s="3">
        <v>0.9359999999999999</v>
      </c>
      <c r="BJ38" s="5">
        <v>2.7488721956224644</v>
      </c>
      <c r="BK38" s="5">
        <v>4.710530701645917</v>
      </c>
      <c r="BO38">
        <f t="shared" si="1"/>
        <v>4.799999999999999</v>
      </c>
      <c r="BP38">
        <v>0</v>
      </c>
    </row>
    <row r="39" spans="1:68" ht="12.75">
      <c r="A39" t="s">
        <v>358</v>
      </c>
      <c r="B39">
        <v>28</v>
      </c>
      <c r="C39">
        <v>158</v>
      </c>
      <c r="D39">
        <v>68.5</v>
      </c>
      <c r="F39" t="s">
        <v>358</v>
      </c>
      <c r="G39" t="s">
        <v>440</v>
      </c>
      <c r="H39">
        <v>4.05</v>
      </c>
      <c r="I39">
        <v>23.2</v>
      </c>
      <c r="J39">
        <v>14</v>
      </c>
      <c r="K39" s="3">
        <f t="shared" si="2"/>
        <v>1.657142857142857</v>
      </c>
      <c r="L39" s="3">
        <v>0.973</v>
      </c>
      <c r="M39" s="3">
        <f t="shared" si="16"/>
        <v>-0.0118871597316481</v>
      </c>
      <c r="N39" s="3"/>
      <c r="O39" s="3"/>
      <c r="P39" s="3">
        <f t="shared" si="17"/>
        <v>3.6119184129778072</v>
      </c>
      <c r="Q39" s="3">
        <f t="shared" si="18"/>
        <v>0.5577379317871732</v>
      </c>
      <c r="R39" s="3"/>
      <c r="S39" s="3"/>
      <c r="T39" s="3"/>
      <c r="U39" t="s">
        <v>358</v>
      </c>
      <c r="V39" s="3">
        <v>0.769</v>
      </c>
      <c r="W39" s="3">
        <f t="shared" si="19"/>
        <v>-0.11407366019856895</v>
      </c>
      <c r="X39" s="3"/>
      <c r="Y39" s="3"/>
      <c r="Z39" s="3">
        <f t="shared" si="20"/>
        <v>1.4653375684603436</v>
      </c>
      <c r="AA39" s="3">
        <f t="shared" si="21"/>
        <v>0.16593768423399663</v>
      </c>
      <c r="AB39" s="3"/>
      <c r="AC39" s="3"/>
      <c r="AE39" t="s">
        <v>358</v>
      </c>
      <c r="AF39" s="3">
        <v>0.163</v>
      </c>
      <c r="AG39" s="3">
        <f t="shared" si="22"/>
        <v>-0.7878123955960422</v>
      </c>
      <c r="AH39" s="3"/>
      <c r="AI39" s="3"/>
      <c r="AJ39" s="3">
        <f t="shared" si="23"/>
        <v>0.17793120849266178</v>
      </c>
      <c r="AK39" s="3">
        <f t="shared" si="24"/>
        <v>-0.7497478715481769</v>
      </c>
      <c r="AL39" s="3"/>
      <c r="AM39" s="3"/>
      <c r="AO39" t="s">
        <v>358</v>
      </c>
      <c r="AP39" s="3">
        <v>0.041</v>
      </c>
      <c r="AQ39" s="3">
        <f t="shared" si="13"/>
        <v>-1.3872161432802645</v>
      </c>
      <c r="AR39" s="3"/>
      <c r="AS39" s="3"/>
      <c r="AT39" s="3">
        <f t="shared" si="14"/>
        <v>0.041864204098698864</v>
      </c>
      <c r="AU39" s="3">
        <f t="shared" si="15"/>
        <v>-1.3781571609665897</v>
      </c>
      <c r="AV39" s="3"/>
      <c r="AW39" s="3"/>
      <c r="AZ39" s="3">
        <v>0.937</v>
      </c>
      <c r="BJ39" s="5">
        <v>2.764620552590605</v>
      </c>
      <c r="BK39" s="5">
        <v>4.892852258439879</v>
      </c>
      <c r="BO39">
        <f t="shared" si="1"/>
        <v>4.899999999999999</v>
      </c>
      <c r="BP39">
        <v>1</v>
      </c>
    </row>
    <row r="40" spans="1:68" ht="12.75">
      <c r="A40" t="s">
        <v>358</v>
      </c>
      <c r="B40">
        <v>28</v>
      </c>
      <c r="C40">
        <v>158</v>
      </c>
      <c r="D40">
        <v>68.5</v>
      </c>
      <c r="F40" t="s">
        <v>358</v>
      </c>
      <c r="G40" t="s">
        <v>441</v>
      </c>
      <c r="H40">
        <v>5.1</v>
      </c>
      <c r="I40">
        <v>23.7</v>
      </c>
      <c r="J40">
        <v>14</v>
      </c>
      <c r="K40" s="3">
        <f t="shared" si="2"/>
        <v>1.6928571428571428</v>
      </c>
      <c r="L40" s="3">
        <v>0.961</v>
      </c>
      <c r="M40" s="3">
        <f t="shared" si="16"/>
        <v>-0.01727661233145466</v>
      </c>
      <c r="N40" s="3">
        <f>AVERAGE(L37:L40)</f>
        <v>0.94875</v>
      </c>
      <c r="O40" s="3">
        <f>LOG10(N40)</f>
        <v>-0.022848211096463237</v>
      </c>
      <c r="P40" s="3">
        <f t="shared" si="17"/>
        <v>3.2441936328524896</v>
      </c>
      <c r="Q40" s="3">
        <f t="shared" si="18"/>
        <v>0.5111067676012933</v>
      </c>
      <c r="R40" s="3">
        <f>-LN(1-N40)</f>
        <v>2.971039660963619</v>
      </c>
      <c r="S40" s="3">
        <f>LOG10(R40)</f>
        <v>0.4729084493205538</v>
      </c>
      <c r="T40" s="3"/>
      <c r="U40" t="s">
        <v>358</v>
      </c>
      <c r="V40" s="3">
        <v>0.766</v>
      </c>
      <c r="W40" s="3">
        <f t="shared" si="19"/>
        <v>-0.11577123036739603</v>
      </c>
      <c r="X40" s="3">
        <f>AVERAGE(V37:V40)</f>
        <v>0.618</v>
      </c>
      <c r="Y40" s="3">
        <f>LOG10(X40)</f>
        <v>-0.20901152491118413</v>
      </c>
      <c r="Z40" s="3">
        <f t="shared" si="20"/>
        <v>1.4524341636244358</v>
      </c>
      <c r="AA40" s="3">
        <f t="shared" si="21"/>
        <v>0.16209645567673794</v>
      </c>
      <c r="AB40" s="3">
        <f>-LN(1-X40)</f>
        <v>0.9623346703755619</v>
      </c>
      <c r="AC40" s="3">
        <f>LOG10(AB40)</f>
        <v>-0.016673867441305782</v>
      </c>
      <c r="AE40" t="s">
        <v>358</v>
      </c>
      <c r="AF40" s="3">
        <v>0.16</v>
      </c>
      <c r="AG40" s="3">
        <f t="shared" si="22"/>
        <v>-0.7958800173440752</v>
      </c>
      <c r="AH40" s="3">
        <f>AVERAGE(AF37:AF40)</f>
        <v>0.27625</v>
      </c>
      <c r="AI40" s="3">
        <f>LOG10(AH40)</f>
        <v>-0.5586977133068328</v>
      </c>
      <c r="AJ40" s="3">
        <f t="shared" si="23"/>
        <v>0.1743533871447778</v>
      </c>
      <c r="AK40" s="3">
        <f t="shared" si="24"/>
        <v>-0.7585696112131687</v>
      </c>
      <c r="AL40" s="3">
        <f>-LN(1-AH40)</f>
        <v>0.32330925009493205</v>
      </c>
      <c r="AM40" s="3">
        <f>LOG10(AL40)</f>
        <v>-0.4903818697536861</v>
      </c>
      <c r="AO40" t="s">
        <v>358</v>
      </c>
      <c r="AP40" s="3">
        <v>0.035</v>
      </c>
      <c r="AQ40" s="3">
        <f t="shared" si="13"/>
        <v>-1.4559319556497243</v>
      </c>
      <c r="AR40" s="3">
        <f>AVERAGE(AP37:AP40)</f>
        <v>0.05450000000000001</v>
      </c>
      <c r="AS40" s="3">
        <f>LOG10(AR40)</f>
        <v>-1.2636034977233574</v>
      </c>
      <c r="AT40" s="3">
        <f t="shared" si="14"/>
        <v>0.03562717764315116</v>
      </c>
      <c r="AU40" s="3">
        <f t="shared" si="15"/>
        <v>-1.4482185807518462</v>
      </c>
      <c r="AV40" s="3">
        <f>-LN(1-AR40)</f>
        <v>0.05604139088362486</v>
      </c>
      <c r="AW40" s="3">
        <f>LOG10(AV40)</f>
        <v>-1.2514910945570834</v>
      </c>
      <c r="AZ40" s="3">
        <v>0.94</v>
      </c>
      <c r="BJ40" s="5">
        <v>2.8134107167600355</v>
      </c>
      <c r="BK40" s="5">
        <v>4.9618451299268225</v>
      </c>
      <c r="BO40">
        <f t="shared" si="1"/>
        <v>4.999999999999998</v>
      </c>
      <c r="BP40">
        <v>1</v>
      </c>
    </row>
    <row r="41" spans="1:68" ht="12.75">
      <c r="A41" t="s">
        <v>359</v>
      </c>
      <c r="B41">
        <v>30</v>
      </c>
      <c r="C41">
        <v>165</v>
      </c>
      <c r="D41">
        <v>74</v>
      </c>
      <c r="F41" t="s">
        <v>359</v>
      </c>
      <c r="G41" t="s">
        <v>442</v>
      </c>
      <c r="H41">
        <v>3.62</v>
      </c>
      <c r="I41">
        <v>13.9</v>
      </c>
      <c r="J41">
        <v>14</v>
      </c>
      <c r="K41" s="3">
        <f t="shared" si="2"/>
        <v>0.9928571428571429</v>
      </c>
      <c r="L41" s="3"/>
      <c r="M41" s="3"/>
      <c r="N41" s="3"/>
      <c r="O41" s="3"/>
      <c r="P41" s="3"/>
      <c r="Q41" s="3"/>
      <c r="R41" s="3"/>
      <c r="S41" s="3"/>
      <c r="T41" s="3"/>
      <c r="U41" t="s">
        <v>359</v>
      </c>
      <c r="V41" s="3"/>
      <c r="W41" s="3"/>
      <c r="X41" s="3"/>
      <c r="Y41" s="3"/>
      <c r="Z41" s="3"/>
      <c r="AA41" s="3"/>
      <c r="AB41" s="3"/>
      <c r="AC41" s="3"/>
      <c r="AE41" t="s">
        <v>359</v>
      </c>
      <c r="AF41" s="3">
        <v>0.658</v>
      </c>
      <c r="AG41" s="3">
        <f t="shared" si="22"/>
        <v>-0.18177410638604447</v>
      </c>
      <c r="AH41" s="3"/>
      <c r="AI41" s="3"/>
      <c r="AJ41" s="3">
        <f t="shared" si="23"/>
        <v>1.072944541919532</v>
      </c>
      <c r="AK41" s="3">
        <f t="shared" si="24"/>
        <v>0.03057727484501291</v>
      </c>
      <c r="AL41" s="3"/>
      <c r="AM41" s="3"/>
      <c r="AO41" t="s">
        <v>359</v>
      </c>
      <c r="AP41" s="3">
        <v>0.073</v>
      </c>
      <c r="AQ41" s="3">
        <f t="shared" si="13"/>
        <v>-1.136677139879544</v>
      </c>
      <c r="AR41" s="3"/>
      <c r="AS41" s="3"/>
      <c r="AT41" s="3">
        <f t="shared" si="14"/>
        <v>0.07580171341628186</v>
      </c>
      <c r="AU41" s="3">
        <f t="shared" si="15"/>
        <v>-1.1203209774968876</v>
      </c>
      <c r="AV41" s="3"/>
      <c r="AW41" s="3"/>
      <c r="AZ41" s="3">
        <v>0.943</v>
      </c>
      <c r="BJ41" s="5">
        <v>2.864704011147586</v>
      </c>
      <c r="BK41" s="5">
        <v>5.298317366548035</v>
      </c>
      <c r="BO41">
        <f t="shared" si="1"/>
        <v>5.099999999999998</v>
      </c>
      <c r="BP41">
        <v>0</v>
      </c>
    </row>
    <row r="42" spans="1:68" ht="12.75">
      <c r="A42" t="s">
        <v>359</v>
      </c>
      <c r="B42">
        <v>30</v>
      </c>
      <c r="C42">
        <v>165</v>
      </c>
      <c r="D42">
        <v>74</v>
      </c>
      <c r="F42" t="s">
        <v>359</v>
      </c>
      <c r="G42" t="s">
        <v>443</v>
      </c>
      <c r="H42">
        <v>4.98</v>
      </c>
      <c r="I42">
        <v>17.2</v>
      </c>
      <c r="J42">
        <v>14</v>
      </c>
      <c r="K42" s="3">
        <f t="shared" si="2"/>
        <v>1.2285714285714284</v>
      </c>
      <c r="L42" s="3"/>
      <c r="M42" s="3"/>
      <c r="N42" s="3"/>
      <c r="O42" s="3"/>
      <c r="P42" s="3"/>
      <c r="Q42" s="3"/>
      <c r="R42" s="3"/>
      <c r="S42" s="3"/>
      <c r="T42" s="3"/>
      <c r="U42" t="s">
        <v>359</v>
      </c>
      <c r="V42" s="3"/>
      <c r="W42" s="3"/>
      <c r="X42" s="3"/>
      <c r="Y42" s="3"/>
      <c r="Z42" s="3"/>
      <c r="AA42" s="3"/>
      <c r="AB42" s="3"/>
      <c r="AC42" s="3"/>
      <c r="AE42" t="s">
        <v>359</v>
      </c>
      <c r="AF42" s="3">
        <v>0.53</v>
      </c>
      <c r="AG42" s="3">
        <f t="shared" si="22"/>
        <v>-0.27572413039921095</v>
      </c>
      <c r="AH42" s="3">
        <f>AVERAGE(AF41:AF42)</f>
        <v>0.5940000000000001</v>
      </c>
      <c r="AI42" s="3">
        <f>LOG10(AH42)</f>
        <v>-0.22621355501880638</v>
      </c>
      <c r="AJ42" s="3">
        <f t="shared" si="23"/>
        <v>0.7550225842780328</v>
      </c>
      <c r="AK42" s="3">
        <f t="shared" si="24"/>
        <v>-0.12204005753553515</v>
      </c>
      <c r="AL42" s="3">
        <f>-LN(1-AH42)</f>
        <v>0.9014021193804046</v>
      </c>
      <c r="AM42" s="3">
        <f>LOG10(AL42)</f>
        <v>-0.04508142514885234</v>
      </c>
      <c r="AO42" t="s">
        <v>359</v>
      </c>
      <c r="AP42" s="3">
        <v>0.011</v>
      </c>
      <c r="AQ42" s="3">
        <f t="shared" si="13"/>
        <v>-1.9586073148417749</v>
      </c>
      <c r="AR42" s="3">
        <f>AVERAGE(AP41:AP42)</f>
        <v>0.041999999999999996</v>
      </c>
      <c r="AS42" s="3">
        <f>LOG10(AR42)</f>
        <v>-1.3767507096020994</v>
      </c>
      <c r="AT42" s="3">
        <f t="shared" si="14"/>
        <v>0.011060947359424948</v>
      </c>
      <c r="AU42" s="3">
        <f t="shared" si="15"/>
        <v>-1.9562076745366808</v>
      </c>
      <c r="AV42" s="3">
        <f>-LN(1-AR42)</f>
        <v>0.04290750101127654</v>
      </c>
      <c r="AW42" s="3">
        <f>LOG10(AV42)</f>
        <v>-1.3674667786068497</v>
      </c>
      <c r="AZ42" s="3">
        <v>0.943</v>
      </c>
      <c r="BJ42" s="5">
        <v>2.864704011147586</v>
      </c>
      <c r="BO42">
        <f t="shared" si="1"/>
        <v>5.1999999999999975</v>
      </c>
      <c r="BP42">
        <v>0</v>
      </c>
    </row>
    <row r="43" spans="1:68" ht="12.75">
      <c r="A43" t="s">
        <v>285</v>
      </c>
      <c r="B43">
        <v>36</v>
      </c>
      <c r="C43">
        <v>180</v>
      </c>
      <c r="D43">
        <v>70</v>
      </c>
      <c r="F43" t="s">
        <v>285</v>
      </c>
      <c r="G43" t="s">
        <v>444</v>
      </c>
      <c r="H43">
        <v>3.59</v>
      </c>
      <c r="I43">
        <v>21.4</v>
      </c>
      <c r="J43">
        <v>14</v>
      </c>
      <c r="K43" s="3">
        <f t="shared" si="2"/>
        <v>1.5285714285714285</v>
      </c>
      <c r="L43" s="3">
        <v>0.9279999999999999</v>
      </c>
      <c r="M43" s="3">
        <f>LOG10(L43)</f>
        <v>-0.03245202378113796</v>
      </c>
      <c r="N43" s="3"/>
      <c r="O43" s="3"/>
      <c r="P43" s="3">
        <f>-LN(1-L43)</f>
        <v>2.631089159966081</v>
      </c>
      <c r="Q43" s="3">
        <f>LOG10(P43)</f>
        <v>0.4201355653130635</v>
      </c>
      <c r="R43" s="3"/>
      <c r="S43" s="3"/>
      <c r="T43" s="3"/>
      <c r="U43" t="s">
        <v>285</v>
      </c>
      <c r="V43" s="3">
        <v>0.493</v>
      </c>
      <c r="W43" s="3">
        <f>LOG10(V43)</f>
        <v>-0.30715308072277</v>
      </c>
      <c r="X43" s="3"/>
      <c r="Y43" s="3"/>
      <c r="Z43" s="3">
        <f>-LN(1-V43)</f>
        <v>0.6792442753909539</v>
      </c>
      <c r="AA43" s="3">
        <f>LOG10(Z43)</f>
        <v>-0.16797401308908722</v>
      </c>
      <c r="AB43" s="3"/>
      <c r="AC43" s="3"/>
      <c r="AE43" t="s">
        <v>285</v>
      </c>
      <c r="AF43" s="3">
        <v>0.304</v>
      </c>
      <c r="AG43" s="3">
        <f aca="true" t="shared" si="25" ref="AG43:AG48">LOG10(AF43)</f>
        <v>-0.5171264163912462</v>
      </c>
      <c r="AH43" s="3"/>
      <c r="AI43" s="3"/>
      <c r="AJ43" s="3">
        <f aca="true" t="shared" si="26" ref="AJ43:AJ48">-LN(1-AF43)</f>
        <v>0.3624056186477174</v>
      </c>
      <c r="AK43" s="3">
        <f aca="true" t="shared" si="27" ref="AK43:AK48">LOG10(AJ43)</f>
        <v>-0.44080507774802913</v>
      </c>
      <c r="AL43" s="3"/>
      <c r="AM43" s="3"/>
      <c r="AO43" t="s">
        <v>285</v>
      </c>
      <c r="AP43" s="3">
        <v>0.131</v>
      </c>
      <c r="AQ43" s="3">
        <f>LOG10(AP43)</f>
        <v>-0.8827287043442358</v>
      </c>
      <c r="AR43" s="3"/>
      <c r="AS43" s="3"/>
      <c r="AT43" s="3">
        <f>-LN(1-AP43)</f>
        <v>0.140412153716745</v>
      </c>
      <c r="AU43" s="3">
        <f>LOG10(AT43)</f>
        <v>-0.852595299160112</v>
      </c>
      <c r="AV43" s="3"/>
      <c r="AW43" s="3"/>
      <c r="AZ43" s="3">
        <v>0.9440000000000001</v>
      </c>
      <c r="BJ43" s="5">
        <v>2.882403588246989</v>
      </c>
      <c r="BO43">
        <f t="shared" si="1"/>
        <v>5.299999999999997</v>
      </c>
      <c r="BP43">
        <v>1</v>
      </c>
    </row>
    <row r="44" spans="1:62" ht="12.75">
      <c r="A44" t="s">
        <v>285</v>
      </c>
      <c r="B44">
        <v>36</v>
      </c>
      <c r="C44">
        <v>180</v>
      </c>
      <c r="D44">
        <v>70</v>
      </c>
      <c r="F44" t="s">
        <v>285</v>
      </c>
      <c r="G44" t="s">
        <v>445</v>
      </c>
      <c r="H44">
        <v>4.93</v>
      </c>
      <c r="I44">
        <v>23.2</v>
      </c>
      <c r="J44">
        <v>14</v>
      </c>
      <c r="K44" s="3">
        <f t="shared" si="2"/>
        <v>1.657142857142857</v>
      </c>
      <c r="L44" s="3">
        <v>0.972</v>
      </c>
      <c r="M44" s="3">
        <f>LOG10(L44)</f>
        <v>-0.012333735073725434</v>
      </c>
      <c r="N44" s="3">
        <f>AVERAGE(L43:L44)</f>
        <v>0.95</v>
      </c>
      <c r="O44" s="3">
        <f>LOG10(N44)</f>
        <v>-0.022276394711152257</v>
      </c>
      <c r="P44" s="3">
        <f>-LN(1-L44)</f>
        <v>3.575550768806932</v>
      </c>
      <c r="Q44" s="3">
        <f>LOG10(P44)</f>
        <v>0.5533429489147628</v>
      </c>
      <c r="R44" s="3">
        <f>-LN(1-N44)</f>
        <v>2.99573227355399</v>
      </c>
      <c r="S44" s="3">
        <f>LOG10(R44)</f>
        <v>0.47650299817509745</v>
      </c>
      <c r="T44" s="3"/>
      <c r="U44" t="s">
        <v>285</v>
      </c>
      <c r="V44" s="3">
        <v>0.721</v>
      </c>
      <c r="W44" s="3">
        <f>LOG10(V44)</f>
        <v>-0.14206473528057098</v>
      </c>
      <c r="X44" s="3">
        <f>AVERAGE(V43:V44)</f>
        <v>0.607</v>
      </c>
      <c r="Y44" s="3">
        <f>LOG10(X44)</f>
        <v>-0.21681130892474243</v>
      </c>
      <c r="Z44" s="3">
        <f>-LN(1-V44)</f>
        <v>1.2765434971607714</v>
      </c>
      <c r="AA44" s="3">
        <f>LOG10(Z44)</f>
        <v>0.10603561761661653</v>
      </c>
      <c r="AB44" s="3">
        <f>-LN(1-X44)</f>
        <v>0.9339456671128759</v>
      </c>
      <c r="AC44" s="3">
        <f>LOG10(AB44)</f>
        <v>-0.029678388394553903</v>
      </c>
      <c r="AE44" t="s">
        <v>285</v>
      </c>
      <c r="AF44" s="3">
        <v>0.226</v>
      </c>
      <c r="AG44" s="3">
        <f t="shared" si="25"/>
        <v>-0.645891560852599</v>
      </c>
      <c r="AH44" s="3">
        <f>AVERAGE(AF43:AF44)</f>
        <v>0.265</v>
      </c>
      <c r="AI44" s="3">
        <f>LOG10(AH44)</f>
        <v>-0.5767541260631921</v>
      </c>
      <c r="AJ44" s="3">
        <f t="shared" si="26"/>
        <v>0.25618340539240986</v>
      </c>
      <c r="AK44" s="3">
        <f t="shared" si="27"/>
        <v>-0.5914490056604984</v>
      </c>
      <c r="AL44" s="3">
        <f>-LN(1-AH44)</f>
        <v>0.3078847797693004</v>
      </c>
      <c r="AM44" s="3">
        <f>LOG10(AL44)</f>
        <v>-0.5116117798385592</v>
      </c>
      <c r="AO44" t="s">
        <v>285</v>
      </c>
      <c r="AP44" s="3">
        <v>0.025</v>
      </c>
      <c r="AQ44" s="3">
        <f>LOG10(AP44)</f>
        <v>-1.6020599913279623</v>
      </c>
      <c r="AR44" s="3">
        <f>AVERAGE(AP43:AP44)</f>
        <v>0.078</v>
      </c>
      <c r="AS44" s="3">
        <f>LOG10(AR44)</f>
        <v>-1.1079053973095194</v>
      </c>
      <c r="AT44" s="3">
        <f>-LN(1-AP44)</f>
        <v>0.025317807984289894</v>
      </c>
      <c r="AU44" s="3">
        <f>LOG10(AT44)</f>
        <v>-1.596573898241459</v>
      </c>
      <c r="AV44" s="3">
        <f>-LN(1-AR44)</f>
        <v>0.08121005542554317</v>
      </c>
      <c r="AW44" s="3">
        <f>LOG10(AV44)</f>
        <v>-1.0903901931054556</v>
      </c>
      <c r="AZ44" s="3">
        <v>0.945</v>
      </c>
      <c r="BJ44" s="5">
        <v>2.900422093749665</v>
      </c>
    </row>
    <row r="45" spans="1:62" ht="12.75">
      <c r="A45" t="s">
        <v>286</v>
      </c>
      <c r="B45">
        <v>43</v>
      </c>
      <c r="C45">
        <v>192</v>
      </c>
      <c r="D45">
        <v>74</v>
      </c>
      <c r="F45" t="s">
        <v>286</v>
      </c>
      <c r="G45" t="s">
        <v>446</v>
      </c>
      <c r="H45">
        <v>3.74</v>
      </c>
      <c r="I45">
        <v>15.5</v>
      </c>
      <c r="J45">
        <v>14</v>
      </c>
      <c r="K45" s="3">
        <f t="shared" si="2"/>
        <v>1.1071428571428572</v>
      </c>
      <c r="L45" s="3">
        <v>0.8220000000000001</v>
      </c>
      <c r="M45" s="3">
        <f>LOG10(L45)</f>
        <v>-0.08512818245994956</v>
      </c>
      <c r="N45" s="3"/>
      <c r="O45" s="3"/>
      <c r="P45" s="3">
        <f>-LN(1-L45)</f>
        <v>1.7259717286900522</v>
      </c>
      <c r="Q45" s="3">
        <f>LOG10(P45)</f>
        <v>0.23703367772075334</v>
      </c>
      <c r="R45" s="3"/>
      <c r="S45" s="3"/>
      <c r="T45" s="3"/>
      <c r="U45" t="s">
        <v>286</v>
      </c>
      <c r="V45" s="3">
        <v>0.262</v>
      </c>
      <c r="W45" s="3">
        <f>LOG10(V45)</f>
        <v>-0.5816987086802545</v>
      </c>
      <c r="X45" s="3"/>
      <c r="Y45" s="3"/>
      <c r="Z45" s="3">
        <f>-LN(1-V45)</f>
        <v>0.30381145438166457</v>
      </c>
      <c r="AA45" s="3">
        <f>LOG10(Z45)</f>
        <v>-0.5173958562764814</v>
      </c>
      <c r="AB45" s="3"/>
      <c r="AC45" s="3"/>
      <c r="AE45" t="s">
        <v>286</v>
      </c>
      <c r="AF45" s="3">
        <v>0.258</v>
      </c>
      <c r="AG45" s="3">
        <f t="shared" si="25"/>
        <v>-0.5883802940367698</v>
      </c>
      <c r="AH45" s="3"/>
      <c r="AI45" s="3"/>
      <c r="AJ45" s="3">
        <f t="shared" si="26"/>
        <v>0.2984060358147566</v>
      </c>
      <c r="AK45" s="3">
        <f t="shared" si="27"/>
        <v>-0.5251923967002673</v>
      </c>
      <c r="AL45" s="3"/>
      <c r="AM45" s="3"/>
      <c r="AO45" t="s">
        <v>286</v>
      </c>
      <c r="AP45" s="3">
        <v>0.302</v>
      </c>
      <c r="AQ45" s="3">
        <f>LOG10(AP45)</f>
        <v>-0.5199930570428494</v>
      </c>
      <c r="AR45" s="3"/>
      <c r="AS45" s="3"/>
      <c r="AT45" s="3">
        <f>-LN(1-AP45)</f>
        <v>0.3595361762197646</v>
      </c>
      <c r="AU45" s="3">
        <f>LOG10(AT45)</f>
        <v>-0.4442574047465421</v>
      </c>
      <c r="AV45" s="3"/>
      <c r="AW45" s="3"/>
      <c r="AZ45" s="3">
        <v>0.948</v>
      </c>
      <c r="BJ45" s="5">
        <v>2.956511560400709</v>
      </c>
    </row>
    <row r="46" spans="1:62" ht="12.75">
      <c r="A46" t="s">
        <v>286</v>
      </c>
      <c r="B46">
        <v>43</v>
      </c>
      <c r="C46">
        <v>192</v>
      </c>
      <c r="D46">
        <v>74</v>
      </c>
      <c r="F46" t="s">
        <v>286</v>
      </c>
      <c r="G46" t="s">
        <v>447</v>
      </c>
      <c r="H46">
        <v>5.12</v>
      </c>
      <c r="I46">
        <v>17.4</v>
      </c>
      <c r="J46">
        <v>14</v>
      </c>
      <c r="K46" s="3">
        <f t="shared" si="2"/>
        <v>1.2428571428571427</v>
      </c>
      <c r="L46" s="3">
        <v>0.835</v>
      </c>
      <c r="M46" s="3">
        <f>LOG10(L46)</f>
        <v>-0.07831352451639793</v>
      </c>
      <c r="N46" s="3">
        <f>AVERAGE(L45:L46)</f>
        <v>0.8285</v>
      </c>
      <c r="O46" s="3">
        <f>LOG10(N46)</f>
        <v>-0.08170748724464445</v>
      </c>
      <c r="P46" s="3">
        <f>-LN(1-L46)</f>
        <v>1.801809805081556</v>
      </c>
      <c r="Q46" s="3">
        <f>LOG10(P46)</f>
        <v>0.25570894593106963</v>
      </c>
      <c r="R46" s="3">
        <f>-LN(1-N46)</f>
        <v>1.7631720123761425</v>
      </c>
      <c r="S46" s="3">
        <f>LOG10(R46)</f>
        <v>0.2462946834743951</v>
      </c>
      <c r="T46" s="3"/>
      <c r="U46" t="s">
        <v>286</v>
      </c>
      <c r="V46" s="3">
        <v>0.436</v>
      </c>
      <c r="W46" s="3">
        <f>LOG10(V46)</f>
        <v>-0.36051351073141397</v>
      </c>
      <c r="X46" s="3">
        <f>AVERAGE(V45:V46)</f>
        <v>0.349</v>
      </c>
      <c r="Y46" s="3">
        <f>LOG10(X46)</f>
        <v>-0.45717457304082004</v>
      </c>
      <c r="Z46" s="3">
        <f>-LN(1-V46)</f>
        <v>0.572701027484078</v>
      </c>
      <c r="AA46" s="3">
        <f>LOG10(Z46)</f>
        <v>-0.24207203771735866</v>
      </c>
      <c r="AB46" s="3">
        <f>-LN(1-X46)</f>
        <v>0.42924563677356775</v>
      </c>
      <c r="AC46" s="3">
        <f>LOG10(AB46)</f>
        <v>-0.3672941106919</v>
      </c>
      <c r="AE46" t="s">
        <v>286</v>
      </c>
      <c r="AF46" s="3">
        <v>0.259</v>
      </c>
      <c r="AG46" s="3">
        <f t="shared" si="25"/>
        <v>-0.5867002359187481</v>
      </c>
      <c r="AH46" s="3">
        <f>AVERAGE(AF45:AF46)</f>
        <v>0.2585</v>
      </c>
      <c r="AI46" s="3">
        <f>LOG10(AH46)</f>
        <v>-0.5875394525700386</v>
      </c>
      <c r="AJ46" s="3">
        <f t="shared" si="26"/>
        <v>0.29975465368605014</v>
      </c>
      <c r="AK46" s="3">
        <f t="shared" si="27"/>
        <v>-0.523234065762113</v>
      </c>
      <c r="AL46" s="3">
        <f>-LN(1-AH46)</f>
        <v>0.2990801174041502</v>
      </c>
      <c r="AM46" s="3">
        <f>LOG10(AL46)</f>
        <v>-0.5242124575426627</v>
      </c>
      <c r="AO46" t="s">
        <v>286</v>
      </c>
      <c r="AP46" s="3">
        <v>0.14</v>
      </c>
      <c r="AQ46" s="3">
        <f>LOG10(AP46)</f>
        <v>-0.8538719643217619</v>
      </c>
      <c r="AR46" s="3">
        <f>AVERAGE(AP45:AP46)</f>
        <v>0.221</v>
      </c>
      <c r="AS46" s="3">
        <f>LOG10(AR46)</f>
        <v>-0.6556077263148893</v>
      </c>
      <c r="AT46" s="3">
        <f>-LN(1-AP46)</f>
        <v>0.15082288973458366</v>
      </c>
      <c r="AU46" s="3">
        <f>LOG10(AT46)</f>
        <v>-0.8215327424779075</v>
      </c>
      <c r="AV46" s="3">
        <f>-LN(1-AR46)</f>
        <v>0.24974423311138877</v>
      </c>
      <c r="AW46" s="3">
        <f>LOG10(AV46)</f>
        <v>-0.6025045313575061</v>
      </c>
      <c r="AZ46" s="3">
        <v>0.951</v>
      </c>
      <c r="BJ46" s="5">
        <v>3.0159349808715095</v>
      </c>
    </row>
    <row r="47" spans="1:52" ht="12.75">
      <c r="A47" t="s">
        <v>287</v>
      </c>
      <c r="B47">
        <v>21</v>
      </c>
      <c r="C47">
        <v>190</v>
      </c>
      <c r="D47">
        <v>74</v>
      </c>
      <c r="F47" t="s">
        <v>287</v>
      </c>
      <c r="G47" t="s">
        <v>448</v>
      </c>
      <c r="H47">
        <v>3.6</v>
      </c>
      <c r="I47">
        <v>11.3</v>
      </c>
      <c r="J47">
        <v>14</v>
      </c>
      <c r="K47" s="3">
        <f t="shared" si="2"/>
        <v>0.8071428571428572</v>
      </c>
      <c r="L47" s="3"/>
      <c r="M47" s="3"/>
      <c r="N47" s="3"/>
      <c r="O47" s="3"/>
      <c r="P47" s="3"/>
      <c r="Q47" s="3"/>
      <c r="R47" s="3"/>
      <c r="S47" s="3"/>
      <c r="T47" s="3"/>
      <c r="U47" t="s">
        <v>287</v>
      </c>
      <c r="V47" s="3">
        <v>0.358</v>
      </c>
      <c r="W47" s="3"/>
      <c r="X47" s="3"/>
      <c r="Y47" s="3"/>
      <c r="Z47" s="3"/>
      <c r="AA47" s="3"/>
      <c r="AB47" s="3"/>
      <c r="AC47" s="3"/>
      <c r="AE47" t="s">
        <v>287</v>
      </c>
      <c r="AF47" s="3">
        <v>0.559</v>
      </c>
      <c r="AG47" s="3">
        <f t="shared" si="25"/>
        <v>-0.25258819211357664</v>
      </c>
      <c r="AH47" s="3"/>
      <c r="AI47" s="3"/>
      <c r="AJ47" s="3">
        <f t="shared" si="26"/>
        <v>0.8187104035352912</v>
      </c>
      <c r="AK47" s="3">
        <f t="shared" si="27"/>
        <v>-0.08686969089874899</v>
      </c>
      <c r="AL47" s="3"/>
      <c r="AM47" s="3"/>
      <c r="AO47" t="s">
        <v>287</v>
      </c>
      <c r="AP47" s="3">
        <v>0.083</v>
      </c>
      <c r="AQ47" s="3">
        <f aca="true" t="shared" si="28" ref="AQ47:AQ73">LOG10(AP47)</f>
        <v>-1.080921907623926</v>
      </c>
      <c r="AR47" s="3"/>
      <c r="AS47" s="3"/>
      <c r="AT47" s="3">
        <f aca="true" t="shared" si="29" ref="AT47:AT73">-LN(1-AP47)</f>
        <v>0.08664780672567217</v>
      </c>
      <c r="AU47" s="3">
        <f aca="true" t="shared" si="30" ref="AU47:AU73">LOG10(AT47)</f>
        <v>-1.0622424258986296</v>
      </c>
      <c r="AV47" s="3"/>
      <c r="AW47" s="3"/>
      <c r="AZ47" s="3">
        <v>0.953</v>
      </c>
    </row>
    <row r="48" spans="1:52" ht="12.75">
      <c r="A48" t="s">
        <v>287</v>
      </c>
      <c r="B48">
        <v>21</v>
      </c>
      <c r="C48">
        <v>190</v>
      </c>
      <c r="D48">
        <v>74</v>
      </c>
      <c r="F48" t="s">
        <v>287</v>
      </c>
      <c r="G48" t="s">
        <v>449</v>
      </c>
      <c r="H48">
        <v>4.9</v>
      </c>
      <c r="I48">
        <v>12.8</v>
      </c>
      <c r="J48">
        <v>14</v>
      </c>
      <c r="K48" s="3">
        <f t="shared" si="2"/>
        <v>0.9142857142857144</v>
      </c>
      <c r="L48" s="3"/>
      <c r="M48" s="3"/>
      <c r="N48" s="3"/>
      <c r="O48" s="3"/>
      <c r="P48" s="3"/>
      <c r="Q48" s="3"/>
      <c r="R48" s="3"/>
      <c r="S48" s="3"/>
      <c r="T48" s="3"/>
      <c r="U48" t="s">
        <v>287</v>
      </c>
      <c r="V48" s="3">
        <v>0.483</v>
      </c>
      <c r="W48" s="3"/>
      <c r="X48" s="3"/>
      <c r="Y48" s="3"/>
      <c r="Z48" s="3"/>
      <c r="AA48" s="3"/>
      <c r="AB48" s="3"/>
      <c r="AC48" s="3"/>
      <c r="AE48" t="s">
        <v>287</v>
      </c>
      <c r="AF48" s="3">
        <v>0.47</v>
      </c>
      <c r="AG48" s="3">
        <f t="shared" si="25"/>
        <v>-0.32790214206428253</v>
      </c>
      <c r="AH48" s="3"/>
      <c r="AI48" s="3"/>
      <c r="AJ48" s="3">
        <f t="shared" si="26"/>
        <v>0.6348782724359695</v>
      </c>
      <c r="AK48" s="3">
        <f t="shared" si="27"/>
        <v>-0.197309535616827</v>
      </c>
      <c r="AL48" s="3"/>
      <c r="AM48" s="3"/>
      <c r="AO48" t="s">
        <v>287</v>
      </c>
      <c r="AP48" s="3">
        <v>0.046</v>
      </c>
      <c r="AQ48" s="3">
        <f t="shared" si="28"/>
        <v>-1.337242168318426</v>
      </c>
      <c r="AR48" s="3"/>
      <c r="AS48" s="3"/>
      <c r="AT48" s="3">
        <f t="shared" si="29"/>
        <v>0.04709160753385056</v>
      </c>
      <c r="AU48" s="3">
        <f t="shared" si="30"/>
        <v>-1.3270564840919001</v>
      </c>
      <c r="AV48" s="3"/>
      <c r="AW48" s="3"/>
      <c r="AZ48" s="3">
        <v>0.9540000000000001</v>
      </c>
    </row>
    <row r="49" spans="1:52" ht="12.75">
      <c r="A49" t="s">
        <v>287</v>
      </c>
      <c r="B49">
        <v>21</v>
      </c>
      <c r="C49">
        <v>190</v>
      </c>
      <c r="D49">
        <v>74</v>
      </c>
      <c r="F49" t="s">
        <v>287</v>
      </c>
      <c r="G49" t="s">
        <v>450</v>
      </c>
      <c r="H49">
        <v>2.1</v>
      </c>
      <c r="I49">
        <v>18</v>
      </c>
      <c r="J49">
        <v>14</v>
      </c>
      <c r="K49" s="3">
        <f t="shared" si="2"/>
        <v>1.2857142857142858</v>
      </c>
      <c r="L49" s="3">
        <v>0.883</v>
      </c>
      <c r="M49" s="3">
        <f aca="true" t="shared" si="31" ref="M49:M73">LOG10(L49)</f>
        <v>-0.05403929642243141</v>
      </c>
      <c r="N49" s="3"/>
      <c r="O49" s="3"/>
      <c r="P49" s="3">
        <f aca="true" t="shared" si="32" ref="P49:P73">-LN(1-L49)</f>
        <v>2.145581344184381</v>
      </c>
      <c r="Q49" s="3">
        <f aca="true" t="shared" si="33" ref="Q49:Q73">LOG10(P49)</f>
        <v>0.3315449843362883</v>
      </c>
      <c r="R49" s="3"/>
      <c r="S49" s="3"/>
      <c r="T49" s="3"/>
      <c r="U49" t="s">
        <v>287</v>
      </c>
      <c r="V49" s="3">
        <v>0.037000000000000005</v>
      </c>
      <c r="W49" s="3">
        <f aca="true" t="shared" si="34" ref="W49:W73">LOG10(V49)</f>
        <v>-1.431798275933005</v>
      </c>
      <c r="X49" s="3"/>
      <c r="Y49" s="3"/>
      <c r="Z49" s="3">
        <f aca="true" t="shared" si="35" ref="Z49:Z73">-LN(1-V49)</f>
        <v>0.03770186718401153</v>
      </c>
      <c r="AA49" s="3">
        <f aca="true" t="shared" si="36" ref="AA49:AA73">LOG10(Z49)</f>
        <v>-1.4236371408384383</v>
      </c>
      <c r="AB49" s="3"/>
      <c r="AC49" s="3"/>
      <c r="AE49" t="s">
        <v>287</v>
      </c>
      <c r="AF49" s="3">
        <v>0.347</v>
      </c>
      <c r="AG49" s="3">
        <f aca="true" t="shared" si="37" ref="AG49:AG73">LOG10(AF49)</f>
        <v>-0.4596705252091263</v>
      </c>
      <c r="AH49" s="3"/>
      <c r="AI49" s="3"/>
      <c r="AJ49" s="3">
        <f aca="true" t="shared" si="38" ref="AJ49:AJ73">-LN(1-AF49)</f>
        <v>0.42617814970570594</v>
      </c>
      <c r="AK49" s="3">
        <f aca="true" t="shared" si="39" ref="AK49:AK73">LOG10(AJ49)</f>
        <v>-0.3704088204723556</v>
      </c>
      <c r="AL49" s="3"/>
      <c r="AM49" s="3"/>
      <c r="AO49" t="s">
        <v>287</v>
      </c>
      <c r="AP49" s="3">
        <v>0.499</v>
      </c>
      <c r="AQ49" s="3">
        <f t="shared" si="28"/>
        <v>-0.3018994543766101</v>
      </c>
      <c r="AR49" s="3"/>
      <c r="AS49" s="3"/>
      <c r="AT49" s="3">
        <f t="shared" si="29"/>
        <v>0.6911491778972723</v>
      </c>
      <c r="AU49" s="3">
        <f t="shared" si="30"/>
        <v>-0.16042820422455098</v>
      </c>
      <c r="AV49" s="3"/>
      <c r="AW49" s="3"/>
      <c r="AZ49" s="3">
        <v>0.955</v>
      </c>
    </row>
    <row r="50" spans="1:52" ht="12.75">
      <c r="A50" t="s">
        <v>287</v>
      </c>
      <c r="B50">
        <v>21</v>
      </c>
      <c r="C50">
        <v>190</v>
      </c>
      <c r="D50">
        <v>74</v>
      </c>
      <c r="F50" t="s">
        <v>287</v>
      </c>
      <c r="G50" t="s">
        <v>22</v>
      </c>
      <c r="H50">
        <v>2.84</v>
      </c>
      <c r="I50">
        <v>17.4</v>
      </c>
      <c r="J50">
        <v>14</v>
      </c>
      <c r="K50" s="3">
        <f t="shared" si="2"/>
        <v>1.2428571428571427</v>
      </c>
      <c r="L50" s="3">
        <v>0.937</v>
      </c>
      <c r="M50" s="3">
        <f t="shared" si="31"/>
        <v>-0.02826040911222171</v>
      </c>
      <c r="N50" s="3">
        <f>AVERAGE(L47:L50)</f>
        <v>0.91</v>
      </c>
      <c r="O50" s="3">
        <f>LOG10(N50)</f>
        <v>-0.04095860767890638</v>
      </c>
      <c r="P50" s="3">
        <f t="shared" si="32"/>
        <v>2.764620552590605</v>
      </c>
      <c r="Q50" s="3">
        <f t="shared" si="33"/>
        <v>0.44163553230455177</v>
      </c>
      <c r="R50" s="3">
        <f>-LN(1-N50)</f>
        <v>2.4079456086518722</v>
      </c>
      <c r="S50" s="3">
        <f>LOG10(R50)</f>
        <v>0.38164667273149216</v>
      </c>
      <c r="T50" s="3"/>
      <c r="U50" t="s">
        <v>287</v>
      </c>
      <c r="V50" s="3">
        <v>0.157</v>
      </c>
      <c r="W50" s="3">
        <f t="shared" si="34"/>
        <v>-0.8041003475907663</v>
      </c>
      <c r="X50" s="3">
        <f>AVERAGE(V47:V50)</f>
        <v>0.25875</v>
      </c>
      <c r="Y50" s="3">
        <f>LOG10(X50)</f>
        <v>-0.5871196415350258</v>
      </c>
      <c r="Z50" s="3">
        <f t="shared" si="35"/>
        <v>0.17078832098028163</v>
      </c>
      <c r="AA50" s="3">
        <f t="shared" si="36"/>
        <v>-0.7675418309961805</v>
      </c>
      <c r="AB50" s="3">
        <f>-LN(1-X50)</f>
        <v>0.29941732867020193</v>
      </c>
      <c r="AC50" s="3">
        <f>LOG10(AB50)</f>
        <v>-0.5237230686286769</v>
      </c>
      <c r="AE50" t="s">
        <v>287</v>
      </c>
      <c r="AF50" s="3">
        <v>0.507</v>
      </c>
      <c r="AG50" s="3">
        <f t="shared" si="37"/>
        <v>-0.294992040666664</v>
      </c>
      <c r="AH50" s="3">
        <f>AVERAGE(AF47:AF50)</f>
        <v>0.47075</v>
      </c>
      <c r="AI50" s="3">
        <f>LOG10(AH50)</f>
        <v>-0.3272096713112975</v>
      </c>
      <c r="AJ50" s="3">
        <f t="shared" si="38"/>
        <v>0.707246104939447</v>
      </c>
      <c r="AK50" s="3">
        <f t="shared" si="39"/>
        <v>-0.150429435681453</v>
      </c>
      <c r="AL50" s="3">
        <f>-LN(1-AH50)</f>
        <v>0.6362943689671625</v>
      </c>
      <c r="AM50" s="3">
        <f>LOG10(AL50)</f>
        <v>-0.19634192013531404</v>
      </c>
      <c r="AO50" t="s">
        <v>287</v>
      </c>
      <c r="AP50" s="3">
        <v>0.273</v>
      </c>
      <c r="AQ50" s="3">
        <f t="shared" si="28"/>
        <v>-0.563837352959244</v>
      </c>
      <c r="AR50" s="3">
        <f>AVERAGE(AP47:AP50)</f>
        <v>0.22525</v>
      </c>
      <c r="AS50" s="3">
        <f>LOG10(AR50)</f>
        <v>-0.6473352003488994</v>
      </c>
      <c r="AT50" s="3">
        <f t="shared" si="29"/>
        <v>0.31882880144861775</v>
      </c>
      <c r="AU50" s="3">
        <f t="shared" si="30"/>
        <v>-0.4964424534452526</v>
      </c>
      <c r="AV50" s="3">
        <f>-LN(1-AR50)</f>
        <v>0.25521488231427936</v>
      </c>
      <c r="AW50" s="3">
        <f>LOG10(AV50)</f>
        <v>-0.5930940042513502</v>
      </c>
      <c r="AZ50" s="3">
        <v>0.955</v>
      </c>
    </row>
    <row r="51" spans="1:52" ht="12.75">
      <c r="A51" t="s">
        <v>288</v>
      </c>
      <c r="B51">
        <v>36</v>
      </c>
      <c r="C51">
        <v>220</v>
      </c>
      <c r="D51">
        <v>79</v>
      </c>
      <c r="F51" t="s">
        <v>288</v>
      </c>
      <c r="G51" t="s">
        <v>23</v>
      </c>
      <c r="H51">
        <v>3.78</v>
      </c>
      <c r="I51">
        <v>18.2</v>
      </c>
      <c r="J51">
        <v>14</v>
      </c>
      <c r="K51" s="3">
        <f t="shared" si="2"/>
        <v>1.3</v>
      </c>
      <c r="L51" s="3">
        <v>0.835</v>
      </c>
      <c r="M51" s="3">
        <f t="shared" si="31"/>
        <v>-0.07831352451639793</v>
      </c>
      <c r="N51" s="3"/>
      <c r="O51" s="3"/>
      <c r="P51" s="3">
        <f t="shared" si="32"/>
        <v>1.801809805081556</v>
      </c>
      <c r="Q51" s="3">
        <f t="shared" si="33"/>
        <v>0.25570894593106963</v>
      </c>
      <c r="R51" s="3"/>
      <c r="S51" s="3"/>
      <c r="T51" s="3"/>
      <c r="U51" t="s">
        <v>288</v>
      </c>
      <c r="V51" s="3">
        <v>0.32</v>
      </c>
      <c r="W51" s="3">
        <f t="shared" si="34"/>
        <v>-0.494850021680094</v>
      </c>
      <c r="X51" s="3"/>
      <c r="Y51" s="3"/>
      <c r="Z51" s="3">
        <f t="shared" si="35"/>
        <v>0.3856624808119848</v>
      </c>
      <c r="AA51" s="3">
        <f t="shared" si="36"/>
        <v>-0.41379260943288027</v>
      </c>
      <c r="AB51" s="3"/>
      <c r="AC51" s="3"/>
      <c r="AE51" t="s">
        <v>288</v>
      </c>
      <c r="AF51" s="3">
        <v>0.237</v>
      </c>
      <c r="AG51" s="3">
        <f t="shared" si="37"/>
        <v>-0.6252516539898961</v>
      </c>
      <c r="AH51" s="3"/>
      <c r="AI51" s="3"/>
      <c r="AJ51" s="3">
        <f t="shared" si="38"/>
        <v>0.27049724769768</v>
      </c>
      <c r="AK51" s="3">
        <f t="shared" si="39"/>
        <v>-0.5678371494697637</v>
      </c>
      <c r="AL51" s="3"/>
      <c r="AM51" s="3"/>
      <c r="AO51" t="s">
        <v>288</v>
      </c>
      <c r="AP51" s="3">
        <v>0.278</v>
      </c>
      <c r="AQ51" s="3">
        <f t="shared" si="28"/>
        <v>-0.5559552040819237</v>
      </c>
      <c r="AR51" s="3"/>
      <c r="AS51" s="3"/>
      <c r="AT51" s="3">
        <f t="shared" si="29"/>
        <v>0.32573014008931084</v>
      </c>
      <c r="AU51" s="3">
        <f t="shared" si="30"/>
        <v>-0.4871420539348086</v>
      </c>
      <c r="AV51" s="3"/>
      <c r="AW51" s="3"/>
      <c r="AZ51" s="3">
        <v>0.9570000000000001</v>
      </c>
    </row>
    <row r="52" spans="1:52" ht="12.75">
      <c r="A52" t="s">
        <v>288</v>
      </c>
      <c r="B52">
        <v>36</v>
      </c>
      <c r="C52">
        <v>220</v>
      </c>
      <c r="D52">
        <v>79</v>
      </c>
      <c r="F52" t="s">
        <v>288</v>
      </c>
      <c r="G52" t="s">
        <v>361</v>
      </c>
      <c r="H52">
        <v>5.89</v>
      </c>
      <c r="I52">
        <v>13.9</v>
      </c>
      <c r="J52">
        <v>14</v>
      </c>
      <c r="K52" s="3">
        <f t="shared" si="2"/>
        <v>0.9928571428571429</v>
      </c>
      <c r="L52" s="3">
        <v>0.8420000000000001</v>
      </c>
      <c r="M52" s="3">
        <f t="shared" si="31"/>
        <v>-0.07468790850035045</v>
      </c>
      <c r="N52" s="3"/>
      <c r="O52" s="3"/>
      <c r="P52" s="3">
        <f t="shared" si="32"/>
        <v>1.8451602459551708</v>
      </c>
      <c r="Q52" s="3">
        <f t="shared" si="33"/>
        <v>0.26603408914656484</v>
      </c>
      <c r="R52" s="3"/>
      <c r="S52" s="3"/>
      <c r="T52" s="3"/>
      <c r="U52" t="s">
        <v>288</v>
      </c>
      <c r="V52" s="3">
        <v>0.395</v>
      </c>
      <c r="W52" s="3">
        <f t="shared" si="34"/>
        <v>-0.40340290437353976</v>
      </c>
      <c r="X52" s="3"/>
      <c r="Y52" s="3"/>
      <c r="Z52" s="3">
        <f t="shared" si="35"/>
        <v>0.5025268209512956</v>
      </c>
      <c r="AA52" s="3">
        <f t="shared" si="36"/>
        <v>-0.29884075404618615</v>
      </c>
      <c r="AB52" s="3"/>
      <c r="AC52" s="3"/>
      <c r="AE52" t="s">
        <v>288</v>
      </c>
      <c r="AF52" s="3">
        <v>0.371</v>
      </c>
      <c r="AG52" s="3">
        <f t="shared" si="37"/>
        <v>-0.4306260903849541</v>
      </c>
      <c r="AH52" s="3"/>
      <c r="AI52" s="3"/>
      <c r="AJ52" s="3">
        <f t="shared" si="38"/>
        <v>0.4636240222816965</v>
      </c>
      <c r="AK52" s="3">
        <f t="shared" si="39"/>
        <v>-0.3338340695287673</v>
      </c>
      <c r="AL52" s="3"/>
      <c r="AM52" s="3"/>
      <c r="AO52" t="s">
        <v>288</v>
      </c>
      <c r="AP52" s="3">
        <v>0.076</v>
      </c>
      <c r="AQ52" s="3">
        <f t="shared" si="28"/>
        <v>-1.1191864077192086</v>
      </c>
      <c r="AR52" s="3"/>
      <c r="AS52" s="3"/>
      <c r="AT52" s="3">
        <f t="shared" si="29"/>
        <v>0.07904320734045286</v>
      </c>
      <c r="AU52" s="3">
        <f t="shared" si="30"/>
        <v>-1.1021354456724604</v>
      </c>
      <c r="AV52" s="3"/>
      <c r="AW52" s="3"/>
      <c r="AZ52" s="3">
        <v>0.958</v>
      </c>
    </row>
    <row r="53" spans="1:52" ht="12.75">
      <c r="A53" t="s">
        <v>288</v>
      </c>
      <c r="B53">
        <v>36</v>
      </c>
      <c r="C53">
        <v>220</v>
      </c>
      <c r="D53">
        <v>79</v>
      </c>
      <c r="F53" t="s">
        <v>288</v>
      </c>
      <c r="G53" t="s">
        <v>362</v>
      </c>
      <c r="H53">
        <v>7.9</v>
      </c>
      <c r="I53">
        <v>13.8</v>
      </c>
      <c r="J53">
        <v>14</v>
      </c>
      <c r="K53" s="3">
        <f t="shared" si="2"/>
        <v>0.9857142857142858</v>
      </c>
      <c r="L53" s="3">
        <v>0.93</v>
      </c>
      <c r="M53" s="3">
        <f t="shared" si="31"/>
        <v>-0.031517051446064856</v>
      </c>
      <c r="N53" s="3"/>
      <c r="O53" s="3"/>
      <c r="P53" s="3">
        <f t="shared" si="32"/>
        <v>2.659260036932779</v>
      </c>
      <c r="Q53" s="3">
        <f t="shared" si="33"/>
        <v>0.4247608070883305</v>
      </c>
      <c r="R53" s="3"/>
      <c r="S53" s="3"/>
      <c r="T53" s="3"/>
      <c r="U53" t="s">
        <v>288</v>
      </c>
      <c r="V53" s="3">
        <v>0.64</v>
      </c>
      <c r="W53" s="3">
        <f t="shared" si="34"/>
        <v>-0.19382002601611284</v>
      </c>
      <c r="X53" s="3"/>
      <c r="Y53" s="3"/>
      <c r="Z53" s="3">
        <f t="shared" si="35"/>
        <v>1.0216512475319814</v>
      </c>
      <c r="AA53" s="3">
        <f t="shared" si="36"/>
        <v>0.00930266965290335</v>
      </c>
      <c r="AB53" s="3"/>
      <c r="AC53" s="3"/>
      <c r="AE53" t="s">
        <v>288</v>
      </c>
      <c r="AF53" s="3">
        <v>0.287</v>
      </c>
      <c r="AG53" s="3">
        <f t="shared" si="37"/>
        <v>-0.5421181032660077</v>
      </c>
      <c r="AH53" s="3"/>
      <c r="AI53" s="3"/>
      <c r="AJ53" s="3">
        <f t="shared" si="38"/>
        <v>0.338273858567841</v>
      </c>
      <c r="AK53" s="3">
        <f t="shared" si="39"/>
        <v>-0.47073156271571776</v>
      </c>
      <c r="AL53" s="3"/>
      <c r="AM53" s="3"/>
      <c r="AO53" t="s">
        <v>288</v>
      </c>
      <c r="AP53" s="3">
        <v>0.003</v>
      </c>
      <c r="AQ53" s="3">
        <f t="shared" si="28"/>
        <v>-2.522878745280338</v>
      </c>
      <c r="AR53" s="3"/>
      <c r="AS53" s="3"/>
      <c r="AT53" s="3">
        <f t="shared" si="29"/>
        <v>0.0030045090202987243</v>
      </c>
      <c r="AU53" s="3">
        <f t="shared" si="30"/>
        <v>-2.522226487786512</v>
      </c>
      <c r="AV53" s="3"/>
      <c r="AW53" s="3"/>
      <c r="AZ53" s="3">
        <v>0.96</v>
      </c>
    </row>
    <row r="54" spans="1:52" ht="12.75">
      <c r="A54" t="s">
        <v>288</v>
      </c>
      <c r="B54">
        <v>36</v>
      </c>
      <c r="C54">
        <v>220</v>
      </c>
      <c r="D54">
        <v>79</v>
      </c>
      <c r="F54" t="s">
        <v>288</v>
      </c>
      <c r="G54" t="s">
        <v>363</v>
      </c>
      <c r="H54">
        <v>4.79</v>
      </c>
      <c r="I54">
        <v>17.1</v>
      </c>
      <c r="J54">
        <v>14</v>
      </c>
      <c r="K54" s="3">
        <f t="shared" si="2"/>
        <v>1.2214285714285715</v>
      </c>
      <c r="L54" s="3">
        <v>0.922</v>
      </c>
      <c r="M54" s="3">
        <f t="shared" si="31"/>
        <v>-0.03526907894637064</v>
      </c>
      <c r="N54" s="3"/>
      <c r="O54" s="3"/>
      <c r="P54" s="3">
        <f t="shared" si="32"/>
        <v>2.551046452292546</v>
      </c>
      <c r="Q54" s="3">
        <f t="shared" si="33"/>
        <v>0.4067183667989897</v>
      </c>
      <c r="R54" s="3"/>
      <c r="S54" s="3"/>
      <c r="T54" s="3"/>
      <c r="U54" t="s">
        <v>288</v>
      </c>
      <c r="V54" s="3">
        <v>0.46799999999999997</v>
      </c>
      <c r="W54" s="3">
        <f t="shared" si="34"/>
        <v>-0.329754146925876</v>
      </c>
      <c r="X54" s="3"/>
      <c r="Y54" s="3"/>
      <c r="Z54" s="3">
        <f t="shared" si="35"/>
        <v>0.6311117896404926</v>
      </c>
      <c r="AA54" s="3">
        <f t="shared" si="36"/>
        <v>-0.19989370680354013</v>
      </c>
      <c r="AB54" s="3"/>
      <c r="AC54" s="3"/>
      <c r="AE54" t="s">
        <v>288</v>
      </c>
      <c r="AF54" s="3">
        <v>0.346</v>
      </c>
      <c r="AG54" s="3">
        <f t="shared" si="37"/>
        <v>-0.4609239012072235</v>
      </c>
      <c r="AH54" s="3"/>
      <c r="AI54" s="3"/>
      <c r="AJ54" s="3">
        <f t="shared" si="38"/>
        <v>0.4246479275249383</v>
      </c>
      <c r="AK54" s="3">
        <f t="shared" si="39"/>
        <v>-0.37197099112867893</v>
      </c>
      <c r="AL54" s="3"/>
      <c r="AM54" s="3"/>
      <c r="AO54" t="s">
        <v>288</v>
      </c>
      <c r="AP54" s="3">
        <v>0.109</v>
      </c>
      <c r="AQ54" s="3">
        <f t="shared" si="28"/>
        <v>-0.9625735020593763</v>
      </c>
      <c r="AR54" s="3"/>
      <c r="AS54" s="3"/>
      <c r="AT54" s="3">
        <f t="shared" si="29"/>
        <v>0.11541085151132774</v>
      </c>
      <c r="AU54" s="3">
        <f t="shared" si="30"/>
        <v>-0.9377533546991378</v>
      </c>
      <c r="AV54" s="3"/>
      <c r="AW54" s="3"/>
      <c r="AZ54" s="3">
        <v>0.961</v>
      </c>
    </row>
    <row r="55" spans="1:52" ht="12.75">
      <c r="A55" t="s">
        <v>288</v>
      </c>
      <c r="B55">
        <v>36</v>
      </c>
      <c r="C55">
        <v>220</v>
      </c>
      <c r="D55">
        <v>79</v>
      </c>
      <c r="F55" t="s">
        <v>288</v>
      </c>
      <c r="G55" t="s">
        <v>364</v>
      </c>
      <c r="H55">
        <v>7.16</v>
      </c>
      <c r="I55">
        <v>16.2</v>
      </c>
      <c r="J55">
        <v>14</v>
      </c>
      <c r="K55" s="3">
        <f t="shared" si="2"/>
        <v>1.157142857142857</v>
      </c>
      <c r="L55" s="3">
        <v>0.96</v>
      </c>
      <c r="M55" s="3">
        <f t="shared" si="31"/>
        <v>-0.017728766960431602</v>
      </c>
      <c r="N55" s="3">
        <f>AVERAGE(L51:L55)</f>
        <v>0.8978000000000002</v>
      </c>
      <c r="O55" s="3">
        <f>LOG10(N55)</f>
        <v>-0.04682039893436587</v>
      </c>
      <c r="P55" s="3">
        <f t="shared" si="32"/>
        <v>3.2188758248681997</v>
      </c>
      <c r="Q55" s="3">
        <f t="shared" si="33"/>
        <v>0.5077042231551</v>
      </c>
      <c r="R55" s="3">
        <f>-LN(1-N55)</f>
        <v>2.2808236012125347</v>
      </c>
      <c r="S55" s="3">
        <f>LOG10(R55)</f>
        <v>0.3580916982611277</v>
      </c>
      <c r="T55" s="3"/>
      <c r="U55" t="s">
        <v>288</v>
      </c>
      <c r="V55" s="3">
        <v>0.597</v>
      </c>
      <c r="W55" s="3">
        <f t="shared" si="34"/>
        <v>-0.2240256688706309</v>
      </c>
      <c r="X55" s="3">
        <f>AVERAGE(V51:V55)</f>
        <v>0.484</v>
      </c>
      <c r="Y55" s="3">
        <f>LOG10(X55)</f>
        <v>-0.31515463835558755</v>
      </c>
      <c r="Z55" s="3">
        <f t="shared" si="35"/>
        <v>0.908818717035454</v>
      </c>
      <c r="AA55" s="3">
        <f t="shared" si="36"/>
        <v>-0.041522737287204965</v>
      </c>
      <c r="AB55" s="3">
        <f>-LN(1-X55)</f>
        <v>0.6616485135005743</v>
      </c>
      <c r="AC55" s="3">
        <f>LOG10(AB55)</f>
        <v>-0.17937265887697182</v>
      </c>
      <c r="AE55" t="s">
        <v>288</v>
      </c>
      <c r="AF55" s="3">
        <v>0.352</v>
      </c>
      <c r="AG55" s="3">
        <f t="shared" si="37"/>
        <v>-0.45345733652186904</v>
      </c>
      <c r="AH55" s="3">
        <f>AVERAGE(AF51:AF55)</f>
        <v>0.3186</v>
      </c>
      <c r="AI55" s="3">
        <f>LOG10(AH55)</f>
        <v>-0.4967542285348873</v>
      </c>
      <c r="AJ55" s="3">
        <f t="shared" si="38"/>
        <v>0.4338645826298623</v>
      </c>
      <c r="AK55" s="3">
        <f t="shared" si="39"/>
        <v>-0.3626458008876439</v>
      </c>
      <c r="AL55" s="3">
        <f>-LN(1-AH55)</f>
        <v>0.38360577375527083</v>
      </c>
      <c r="AM55" s="3">
        <f>LOG10(AL55)</f>
        <v>-0.41611486476731957</v>
      </c>
      <c r="AO55" t="s">
        <v>288</v>
      </c>
      <c r="AP55" s="3">
        <v>0.011</v>
      </c>
      <c r="AQ55" s="3">
        <f t="shared" si="28"/>
        <v>-1.9586073148417749</v>
      </c>
      <c r="AR55" s="3">
        <f>AVERAGE(AP51:AP55)</f>
        <v>0.09540000000000001</v>
      </c>
      <c r="AS55" s="3">
        <f>LOG10(AR55)</f>
        <v>-1.0204516252959048</v>
      </c>
      <c r="AT55" s="3">
        <f t="shared" si="29"/>
        <v>0.011060947359424948</v>
      </c>
      <c r="AU55" s="3">
        <f t="shared" si="30"/>
        <v>-1.9562076745366808</v>
      </c>
      <c r="AV55" s="3">
        <f>-LN(1-AR55)</f>
        <v>0.10026242193839434</v>
      </c>
      <c r="AW55" s="3">
        <f>LOG10(AV55)</f>
        <v>-0.9988618087816522</v>
      </c>
      <c r="AZ55" s="3">
        <v>0.9620000000000001</v>
      </c>
    </row>
    <row r="56" spans="1:52" ht="12.75">
      <c r="A56" t="s">
        <v>289</v>
      </c>
      <c r="B56">
        <v>34</v>
      </c>
      <c r="C56">
        <v>175</v>
      </c>
      <c r="D56">
        <v>70</v>
      </c>
      <c r="F56" t="s">
        <v>289</v>
      </c>
      <c r="G56" t="s">
        <v>389</v>
      </c>
      <c r="H56">
        <v>4.64</v>
      </c>
      <c r="I56">
        <v>16</v>
      </c>
      <c r="J56">
        <v>14</v>
      </c>
      <c r="K56" s="3">
        <f t="shared" si="2"/>
        <v>1.1428571428571428</v>
      </c>
      <c r="L56" s="3">
        <v>0.99</v>
      </c>
      <c r="M56" s="3">
        <f t="shared" si="31"/>
        <v>-0.004364805402450088</v>
      </c>
      <c r="N56" s="3"/>
      <c r="O56" s="3"/>
      <c r="P56" s="3">
        <f t="shared" si="32"/>
        <v>4.605170185988091</v>
      </c>
      <c r="Q56" s="3">
        <f t="shared" si="33"/>
        <v>0.6632456843634444</v>
      </c>
      <c r="R56" s="3"/>
      <c r="S56" s="3"/>
      <c r="T56" s="3"/>
      <c r="U56" t="s">
        <v>289</v>
      </c>
      <c r="V56" s="3">
        <v>0.55</v>
      </c>
      <c r="W56" s="3">
        <f t="shared" si="34"/>
        <v>-0.2596373105057561</v>
      </c>
      <c r="X56" s="3"/>
      <c r="Y56" s="3"/>
      <c r="Z56" s="3">
        <f t="shared" si="35"/>
        <v>0.7985076962177717</v>
      </c>
      <c r="AA56" s="3">
        <f t="shared" si="36"/>
        <v>-0.09772089366600901</v>
      </c>
      <c r="AB56" s="3"/>
      <c r="AC56" s="3"/>
      <c r="AE56" t="s">
        <v>289</v>
      </c>
      <c r="AF56" s="3">
        <v>0.246</v>
      </c>
      <c r="AG56" s="3">
        <f t="shared" si="37"/>
        <v>-0.6090648928966209</v>
      </c>
      <c r="AH56" s="3"/>
      <c r="AI56" s="3"/>
      <c r="AJ56" s="3">
        <f t="shared" si="38"/>
        <v>0.282362910974181</v>
      </c>
      <c r="AK56" s="3">
        <f t="shared" si="39"/>
        <v>-0.5491923494654489</v>
      </c>
      <c r="AL56" s="3"/>
      <c r="AM56" s="3"/>
      <c r="AO56" t="s">
        <v>289</v>
      </c>
      <c r="AP56" s="3">
        <v>0.096</v>
      </c>
      <c r="AQ56" s="3">
        <f t="shared" si="28"/>
        <v>-1.0177287669604316</v>
      </c>
      <c r="AR56" s="3"/>
      <c r="AS56" s="3"/>
      <c r="AT56" s="3">
        <f t="shared" si="29"/>
        <v>0.10092591858996051</v>
      </c>
      <c r="AU56" s="3">
        <f t="shared" si="30"/>
        <v>-0.9959972891137294</v>
      </c>
      <c r="AV56" s="3"/>
      <c r="AW56" s="3"/>
      <c r="AZ56" s="3">
        <v>0.963</v>
      </c>
    </row>
    <row r="57" spans="1:52" ht="12.75">
      <c r="A57" t="s">
        <v>289</v>
      </c>
      <c r="B57">
        <v>34</v>
      </c>
      <c r="C57">
        <v>175</v>
      </c>
      <c r="D57">
        <v>70</v>
      </c>
      <c r="F57" t="s">
        <v>289</v>
      </c>
      <c r="G57" t="s">
        <v>390</v>
      </c>
      <c r="H57">
        <v>4.82</v>
      </c>
      <c r="I57">
        <v>19.4</v>
      </c>
      <c r="J57">
        <v>14</v>
      </c>
      <c r="K57" s="3">
        <f t="shared" si="2"/>
        <v>1.3857142857142857</v>
      </c>
      <c r="L57" s="3">
        <v>0.9925</v>
      </c>
      <c r="M57" s="3">
        <f t="shared" si="31"/>
        <v>-0.003269484564847303</v>
      </c>
      <c r="N57" s="3"/>
      <c r="O57" s="3"/>
      <c r="P57" s="3">
        <f t="shared" si="32"/>
        <v>4.892852258439879</v>
      </c>
      <c r="Q57" s="3">
        <f t="shared" si="33"/>
        <v>0.6895621022686206</v>
      </c>
      <c r="R57" s="3"/>
      <c r="S57" s="3"/>
      <c r="T57" s="3"/>
      <c r="U57" t="s">
        <v>289</v>
      </c>
      <c r="V57" s="3">
        <v>0.847</v>
      </c>
      <c r="W57" s="3">
        <f t="shared" si="34"/>
        <v>-0.07211658966929309</v>
      </c>
      <c r="X57" s="3"/>
      <c r="Y57" s="3"/>
      <c r="Z57" s="3">
        <f t="shared" si="35"/>
        <v>1.8773173575897015</v>
      </c>
      <c r="AA57" s="3">
        <f t="shared" si="36"/>
        <v>0.2735376956366101</v>
      </c>
      <c r="AB57" s="3"/>
      <c r="AC57" s="3"/>
      <c r="AE57" t="s">
        <v>289</v>
      </c>
      <c r="AF57" s="3">
        <v>0.116</v>
      </c>
      <c r="AG57" s="3">
        <f t="shared" si="37"/>
        <v>-0.9355420107730814</v>
      </c>
      <c r="AH57" s="3"/>
      <c r="AI57" s="3"/>
      <c r="AJ57" s="3">
        <f t="shared" si="38"/>
        <v>0.12329821634449362</v>
      </c>
      <c r="AK57" s="3">
        <f t="shared" si="39"/>
        <v>-0.9090432059456065</v>
      </c>
      <c r="AL57" s="3"/>
      <c r="AM57" s="3"/>
      <c r="AO57" t="s">
        <v>289</v>
      </c>
      <c r="AP57" s="3">
        <v>0.029</v>
      </c>
      <c r="AQ57" s="3">
        <f t="shared" si="28"/>
        <v>-1.537602002101044</v>
      </c>
      <c r="AR57" s="3"/>
      <c r="AS57" s="3"/>
      <c r="AT57" s="3">
        <f t="shared" si="29"/>
        <v>0.029428810690812164</v>
      </c>
      <c r="AU57" s="3">
        <f t="shared" si="30"/>
        <v>-1.5312272887279221</v>
      </c>
      <c r="AV57" s="3"/>
      <c r="AW57" s="3"/>
      <c r="AZ57" s="3">
        <v>0.963</v>
      </c>
    </row>
    <row r="58" spans="1:52" ht="12.75">
      <c r="A58" t="s">
        <v>289</v>
      </c>
      <c r="B58">
        <v>34</v>
      </c>
      <c r="C58">
        <v>175</v>
      </c>
      <c r="D58">
        <v>70</v>
      </c>
      <c r="F58" t="s">
        <v>289</v>
      </c>
      <c r="G58" t="s">
        <v>256</v>
      </c>
      <c r="H58">
        <v>2.36</v>
      </c>
      <c r="I58">
        <v>23.8</v>
      </c>
      <c r="J58">
        <v>14</v>
      </c>
      <c r="K58" s="3">
        <f t="shared" si="2"/>
        <v>1.7</v>
      </c>
      <c r="L58" s="3">
        <v>0.894</v>
      </c>
      <c r="M58" s="3">
        <f t="shared" si="31"/>
        <v>-0.048662481204082314</v>
      </c>
      <c r="N58" s="3"/>
      <c r="O58" s="3"/>
      <c r="P58" s="3">
        <f t="shared" si="32"/>
        <v>2.24431618487007</v>
      </c>
      <c r="Q58" s="3">
        <f t="shared" si="33"/>
        <v>0.3510840413858498</v>
      </c>
      <c r="R58" s="3"/>
      <c r="S58" s="3"/>
      <c r="T58" s="3"/>
      <c r="U58" t="s">
        <v>289</v>
      </c>
      <c r="V58" s="3">
        <v>0.18</v>
      </c>
      <c r="W58" s="3">
        <f t="shared" si="34"/>
        <v>-0.7447274948966939</v>
      </c>
      <c r="X58" s="3"/>
      <c r="Y58" s="3"/>
      <c r="Z58" s="3">
        <f t="shared" si="35"/>
        <v>0.19845093872383818</v>
      </c>
      <c r="AA58" s="3">
        <f t="shared" si="36"/>
        <v>-0.7023468424276733</v>
      </c>
      <c r="AB58" s="3"/>
      <c r="AC58" s="3"/>
      <c r="AE58" t="s">
        <v>289</v>
      </c>
      <c r="AF58" s="3">
        <v>0.286</v>
      </c>
      <c r="AG58" s="3">
        <f t="shared" si="37"/>
        <v>-0.543633966870957</v>
      </c>
      <c r="AH58" s="3"/>
      <c r="AI58" s="3"/>
      <c r="AJ58" s="3">
        <f t="shared" si="38"/>
        <v>0.3368723166425527</v>
      </c>
      <c r="AK58" s="3">
        <f t="shared" si="39"/>
        <v>-0.4725346768294048</v>
      </c>
      <c r="AL58" s="3"/>
      <c r="AM58" s="3"/>
      <c r="AO58" t="s">
        <v>289</v>
      </c>
      <c r="AP58" s="3">
        <v>0.428</v>
      </c>
      <c r="AQ58" s="3">
        <f t="shared" si="28"/>
        <v>-0.36855623098682794</v>
      </c>
      <c r="AR58" s="3"/>
      <c r="AS58" s="3"/>
      <c r="AT58" s="3">
        <f t="shared" si="29"/>
        <v>0.5586162876023391</v>
      </c>
      <c r="AU58" s="3">
        <f t="shared" si="30"/>
        <v>-0.2528864057050184</v>
      </c>
      <c r="AV58" s="3"/>
      <c r="AW58" s="3"/>
      <c r="AZ58" s="3">
        <v>0.9640000000000001</v>
      </c>
    </row>
    <row r="59" spans="1:52" ht="12.75">
      <c r="A59" t="s">
        <v>289</v>
      </c>
      <c r="B59">
        <v>34</v>
      </c>
      <c r="C59">
        <v>175</v>
      </c>
      <c r="D59">
        <v>70</v>
      </c>
      <c r="F59" t="s">
        <v>289</v>
      </c>
      <c r="G59" t="s">
        <v>257</v>
      </c>
      <c r="H59">
        <v>3.77</v>
      </c>
      <c r="I59">
        <v>18.9</v>
      </c>
      <c r="J59">
        <v>14</v>
      </c>
      <c r="K59" s="3">
        <f t="shared" si="2"/>
        <v>1.3499999999999999</v>
      </c>
      <c r="L59" s="3">
        <v>0.922</v>
      </c>
      <c r="M59" s="3">
        <f t="shared" si="31"/>
        <v>-0.03526907894637064</v>
      </c>
      <c r="N59" s="3"/>
      <c r="O59" s="3"/>
      <c r="P59" s="3">
        <f t="shared" si="32"/>
        <v>2.551046452292546</v>
      </c>
      <c r="Q59" s="3">
        <f t="shared" si="33"/>
        <v>0.4067183667989897</v>
      </c>
      <c r="R59" s="3"/>
      <c r="S59" s="3"/>
      <c r="T59" s="3"/>
      <c r="U59" t="s">
        <v>289</v>
      </c>
      <c r="V59" s="3">
        <v>0.248</v>
      </c>
      <c r="W59" s="3">
        <f t="shared" si="34"/>
        <v>-0.6055483191737837</v>
      </c>
      <c r="X59" s="3"/>
      <c r="Y59" s="3"/>
      <c r="Z59" s="3">
        <f t="shared" si="35"/>
        <v>0.28501895503229724</v>
      </c>
      <c r="AA59" s="3">
        <f t="shared" si="36"/>
        <v>-0.54512625651012</v>
      </c>
      <c r="AB59" s="3"/>
      <c r="AC59" s="3"/>
      <c r="AE59" t="s">
        <v>289</v>
      </c>
      <c r="AF59" s="3">
        <v>0.512</v>
      </c>
      <c r="AG59" s="3">
        <f t="shared" si="37"/>
        <v>-0.2907300390241692</v>
      </c>
      <c r="AH59" s="3"/>
      <c r="AI59" s="3"/>
      <c r="AJ59" s="3">
        <f t="shared" si="38"/>
        <v>0.7174398731289899</v>
      </c>
      <c r="AK59" s="3">
        <f t="shared" si="39"/>
        <v>-0.14421449022112917</v>
      </c>
      <c r="AL59" s="3"/>
      <c r="AM59" s="3"/>
      <c r="AO59" t="s">
        <v>289</v>
      </c>
      <c r="AP59" s="3">
        <v>0.162</v>
      </c>
      <c r="AQ59" s="3">
        <f t="shared" si="28"/>
        <v>-0.790484985457369</v>
      </c>
      <c r="AR59" s="3"/>
      <c r="AS59" s="3"/>
      <c r="AT59" s="3">
        <f t="shared" si="29"/>
        <v>0.17673717850005405</v>
      </c>
      <c r="AU59" s="3">
        <f t="shared" si="30"/>
        <v>-0.7526720825304937</v>
      </c>
      <c r="AV59" s="3"/>
      <c r="AW59" s="3"/>
      <c r="AZ59" s="3">
        <v>0.966</v>
      </c>
    </row>
    <row r="60" spans="1:52" ht="12.75">
      <c r="A60" t="s">
        <v>289</v>
      </c>
      <c r="B60">
        <v>34</v>
      </c>
      <c r="C60">
        <v>175</v>
      </c>
      <c r="D60">
        <v>70</v>
      </c>
      <c r="F60" t="s">
        <v>289</v>
      </c>
      <c r="G60" t="s">
        <v>42</v>
      </c>
      <c r="H60">
        <v>6.76</v>
      </c>
      <c r="I60">
        <v>21.5</v>
      </c>
      <c r="J60">
        <v>14</v>
      </c>
      <c r="K60" s="3">
        <f t="shared" si="2"/>
        <v>1.5357142857142858</v>
      </c>
      <c r="L60" s="3">
        <v>0.973</v>
      </c>
      <c r="M60" s="3">
        <f t="shared" si="31"/>
        <v>-0.0118871597316481</v>
      </c>
      <c r="N60" s="3"/>
      <c r="O60" s="3"/>
      <c r="P60" s="3">
        <f t="shared" si="32"/>
        <v>3.6119184129778072</v>
      </c>
      <c r="Q60" s="3">
        <f t="shared" si="33"/>
        <v>0.5577379317871732</v>
      </c>
      <c r="R60" s="3"/>
      <c r="S60" s="3"/>
      <c r="T60" s="3"/>
      <c r="U60" t="s">
        <v>289</v>
      </c>
      <c r="V60" s="3">
        <v>0.7789999999999999</v>
      </c>
      <c r="W60" s="3">
        <f t="shared" si="34"/>
        <v>-0.10846254232743559</v>
      </c>
      <c r="X60" s="3"/>
      <c r="Y60" s="3"/>
      <c r="Z60" s="3">
        <f t="shared" si="35"/>
        <v>1.509592577464384</v>
      </c>
      <c r="AA60" s="3">
        <f t="shared" si="36"/>
        <v>0.17885975177386965</v>
      </c>
      <c r="AB60" s="3"/>
      <c r="AC60" s="3"/>
      <c r="AE60" t="s">
        <v>289</v>
      </c>
      <c r="AF60" s="3">
        <v>0.175</v>
      </c>
      <c r="AG60" s="3">
        <f t="shared" si="37"/>
        <v>-0.7569619513137056</v>
      </c>
      <c r="AH60" s="3"/>
      <c r="AI60" s="3"/>
      <c r="AJ60" s="3">
        <f t="shared" si="38"/>
        <v>0.1923718926474561</v>
      </c>
      <c r="AK60" s="3">
        <f t="shared" si="39"/>
        <v>-0.715858382193407</v>
      </c>
      <c r="AL60" s="3"/>
      <c r="AM60" s="3"/>
      <c r="AO60" t="s">
        <v>289</v>
      </c>
      <c r="AP60" s="3">
        <v>0.019</v>
      </c>
      <c r="AQ60" s="3">
        <f t="shared" si="28"/>
        <v>-1.721246399047171</v>
      </c>
      <c r="AR60" s="3"/>
      <c r="AS60" s="3"/>
      <c r="AT60" s="3">
        <f t="shared" si="29"/>
        <v>0.01918281941677399</v>
      </c>
      <c r="AU60" s="3">
        <f t="shared" si="30"/>
        <v>-1.717087561547017</v>
      </c>
      <c r="AV60" s="3"/>
      <c r="AW60" s="3"/>
      <c r="AZ60" s="3">
        <v>0.966</v>
      </c>
    </row>
    <row r="61" spans="1:52" ht="12.75">
      <c r="A61" t="s">
        <v>289</v>
      </c>
      <c r="B61">
        <v>34</v>
      </c>
      <c r="C61">
        <v>175</v>
      </c>
      <c r="D61">
        <v>70</v>
      </c>
      <c r="F61" t="s">
        <v>289</v>
      </c>
      <c r="G61" t="s">
        <v>43</v>
      </c>
      <c r="H61">
        <v>2.91</v>
      </c>
      <c r="I61">
        <v>12.4</v>
      </c>
      <c r="J61">
        <v>14</v>
      </c>
      <c r="K61" s="3">
        <f t="shared" si="2"/>
        <v>0.8857142857142858</v>
      </c>
      <c r="L61" s="3">
        <v>0.963</v>
      </c>
      <c r="M61" s="3">
        <f t="shared" si="31"/>
        <v>-0.016373712875465497</v>
      </c>
      <c r="N61" s="3"/>
      <c r="O61" s="3"/>
      <c r="P61" s="3">
        <f t="shared" si="32"/>
        <v>3.2968373663379116</v>
      </c>
      <c r="Q61" s="3">
        <f t="shared" si="33"/>
        <v>0.5180975238358716</v>
      </c>
      <c r="R61" s="3"/>
      <c r="S61" s="3"/>
      <c r="T61" s="3"/>
      <c r="U61" t="s">
        <v>289</v>
      </c>
      <c r="V61" s="3">
        <v>0.14</v>
      </c>
      <c r="W61" s="3">
        <f t="shared" si="34"/>
        <v>-0.8538719643217619</v>
      </c>
      <c r="X61" s="3"/>
      <c r="Y61" s="3"/>
      <c r="Z61" s="3">
        <f t="shared" si="35"/>
        <v>0.15082288973458366</v>
      </c>
      <c r="AA61" s="3">
        <f t="shared" si="36"/>
        <v>-0.8215327424779075</v>
      </c>
      <c r="AB61" s="3"/>
      <c r="AC61" s="3"/>
      <c r="AE61" t="s">
        <v>289</v>
      </c>
      <c r="AF61" s="3">
        <v>0.328</v>
      </c>
      <c r="AG61" s="3">
        <f t="shared" si="37"/>
        <v>-0.4841261562883209</v>
      </c>
      <c r="AH61" s="3"/>
      <c r="AI61" s="3"/>
      <c r="AJ61" s="3">
        <f t="shared" si="38"/>
        <v>0.3974969384589876</v>
      </c>
      <c r="AK61" s="3">
        <f t="shared" si="39"/>
        <v>-0.4006662119521352</v>
      </c>
      <c r="AL61" s="3"/>
      <c r="AM61" s="3"/>
      <c r="AO61" t="s">
        <v>289</v>
      </c>
      <c r="AP61" s="3">
        <v>0.493</v>
      </c>
      <c r="AQ61" s="3">
        <f t="shared" si="28"/>
        <v>-0.30715308072277</v>
      </c>
      <c r="AR61" s="3"/>
      <c r="AS61" s="3"/>
      <c r="AT61" s="3">
        <f t="shared" si="29"/>
        <v>0.6792442753909539</v>
      </c>
      <c r="AU61" s="3">
        <f t="shared" si="30"/>
        <v>-0.16797401308908722</v>
      </c>
      <c r="AV61" s="3"/>
      <c r="AW61" s="3"/>
      <c r="AZ61" s="3">
        <v>0.966</v>
      </c>
    </row>
    <row r="62" spans="1:52" ht="12.75">
      <c r="A62" t="s">
        <v>289</v>
      </c>
      <c r="B62">
        <v>34</v>
      </c>
      <c r="C62">
        <v>175</v>
      </c>
      <c r="D62">
        <v>70</v>
      </c>
      <c r="F62" t="s">
        <v>289</v>
      </c>
      <c r="G62" t="s">
        <v>473</v>
      </c>
      <c r="H62">
        <v>5.05</v>
      </c>
      <c r="I62">
        <v>17.8</v>
      </c>
      <c r="J62">
        <v>14</v>
      </c>
      <c r="K62" s="3">
        <f t="shared" si="2"/>
        <v>1.2714285714285716</v>
      </c>
      <c r="L62" s="3">
        <v>0.976</v>
      </c>
      <c r="M62" s="3">
        <f t="shared" si="31"/>
        <v>-0.010550182333308194</v>
      </c>
      <c r="N62" s="3">
        <f>AVERAGE(L56:L62)</f>
        <v>0.9586428571428572</v>
      </c>
      <c r="O62" s="3">
        <f>LOG10(N62)</f>
        <v>-0.01834315931606653</v>
      </c>
      <c r="P62" s="3">
        <f t="shared" si="32"/>
        <v>3.7297014486341906</v>
      </c>
      <c r="Q62" s="3">
        <f t="shared" si="33"/>
        <v>0.5716740692349579</v>
      </c>
      <c r="R62" s="3">
        <f>-LN(1-N62)</f>
        <v>3.1855101310244027</v>
      </c>
      <c r="S62" s="3">
        <f>LOG10(R62)</f>
        <v>0.5031789906269748</v>
      </c>
      <c r="T62" s="3"/>
      <c r="U62" t="s">
        <v>289</v>
      </c>
      <c r="V62" s="3">
        <v>0.816</v>
      </c>
      <c r="W62" s="3">
        <f t="shared" si="34"/>
        <v>-0.08830984124613889</v>
      </c>
      <c r="X62" s="3">
        <f>AVERAGE(V56:V62)</f>
        <v>0.5085714285714286</v>
      </c>
      <c r="Y62" s="3">
        <f>LOG10(X62)</f>
        <v>-0.2936480420413817</v>
      </c>
      <c r="Z62" s="3">
        <f t="shared" si="35"/>
        <v>1.6928195213731512</v>
      </c>
      <c r="AA62" s="3">
        <f t="shared" si="36"/>
        <v>0.22861065861109053</v>
      </c>
      <c r="AB62" s="3">
        <f>-LN(1-X62)</f>
        <v>0.7104386776700063</v>
      </c>
      <c r="AC62" s="3">
        <f>LOG10(AB62)</f>
        <v>-0.14847340274549706</v>
      </c>
      <c r="AE62" t="s">
        <v>289</v>
      </c>
      <c r="AF62" s="3">
        <v>0.112</v>
      </c>
      <c r="AG62" s="3">
        <f t="shared" si="37"/>
        <v>-0.9507819773298184</v>
      </c>
      <c r="AH62" s="3">
        <f>AVERAGE(AF56:AF62)</f>
        <v>0.2535714285714286</v>
      </c>
      <c r="AI62" s="3">
        <f>LOG10(AH62)</f>
        <v>-0.5958996826231439</v>
      </c>
      <c r="AJ62" s="3">
        <f t="shared" si="38"/>
        <v>0.11878353598996697</v>
      </c>
      <c r="AK62" s="3">
        <f t="shared" si="39"/>
        <v>-0.9252437506360855</v>
      </c>
      <c r="AL62" s="3">
        <f>-LN(1-AH62)</f>
        <v>0.2924553512044386</v>
      </c>
      <c r="AM62" s="3">
        <f>LOG10(AL62)</f>
        <v>-0.5339404277207396</v>
      </c>
      <c r="AO62" t="s">
        <v>289</v>
      </c>
      <c r="AP62" s="3">
        <v>0.048</v>
      </c>
      <c r="AQ62" s="3">
        <f t="shared" si="28"/>
        <v>-1.3187587626244128</v>
      </c>
      <c r="AR62" s="3">
        <f>AVERAGE(AP56:AP62)</f>
        <v>0.18214285714285713</v>
      </c>
      <c r="AS62" s="3">
        <f>LOG10(AR62)</f>
        <v>-0.7395878552442829</v>
      </c>
      <c r="AT62" s="3">
        <f t="shared" si="29"/>
        <v>0.04919024419077179</v>
      </c>
      <c r="AU62" s="3">
        <f t="shared" si="30"/>
        <v>-1.3081210215056922</v>
      </c>
      <c r="AV62" s="3">
        <f>-LN(1-AR62)</f>
        <v>0.20106759961500997</v>
      </c>
      <c r="AW62" s="3">
        <f>LOG10(AV62)</f>
        <v>-0.6966579067383623</v>
      </c>
      <c r="AZ62" s="3">
        <v>0.9670000000000001</v>
      </c>
    </row>
    <row r="63" spans="1:52" ht="12.75">
      <c r="A63" t="s">
        <v>290</v>
      </c>
      <c r="B63">
        <v>73</v>
      </c>
      <c r="C63">
        <v>185</v>
      </c>
      <c r="D63">
        <v>66</v>
      </c>
      <c r="F63" t="s">
        <v>290</v>
      </c>
      <c r="G63" t="s">
        <v>474</v>
      </c>
      <c r="H63">
        <v>4.05</v>
      </c>
      <c r="I63">
        <v>12.1</v>
      </c>
      <c r="J63">
        <v>14</v>
      </c>
      <c r="K63" s="3">
        <f t="shared" si="2"/>
        <v>0.8642857142857142</v>
      </c>
      <c r="L63" s="3">
        <v>0.9440000000000001</v>
      </c>
      <c r="M63" s="3">
        <f t="shared" si="31"/>
        <v>-0.025028005701931002</v>
      </c>
      <c r="N63" s="3"/>
      <c r="O63" s="3"/>
      <c r="P63" s="3">
        <f t="shared" si="32"/>
        <v>2.882403588246989</v>
      </c>
      <c r="Q63" s="3">
        <f t="shared" si="33"/>
        <v>0.459754789759425</v>
      </c>
      <c r="R63" s="3"/>
      <c r="S63" s="3"/>
      <c r="T63" s="3"/>
      <c r="U63" t="s">
        <v>290</v>
      </c>
      <c r="V63" s="3">
        <v>0.58</v>
      </c>
      <c r="W63" s="3">
        <f t="shared" si="34"/>
        <v>-0.23657200643706278</v>
      </c>
      <c r="X63" s="3"/>
      <c r="Y63" s="3"/>
      <c r="Z63" s="3">
        <f t="shared" si="35"/>
        <v>0.867500567704723</v>
      </c>
      <c r="AA63" s="3">
        <f t="shared" si="36"/>
        <v>-0.061730232328503255</v>
      </c>
      <c r="AB63" s="3"/>
      <c r="AC63" s="3"/>
      <c r="AE63" t="s">
        <v>290</v>
      </c>
      <c r="AF63" s="3">
        <v>0.302</v>
      </c>
      <c r="AG63" s="3">
        <f t="shared" si="37"/>
        <v>-0.5199930570428494</v>
      </c>
      <c r="AH63" s="3"/>
      <c r="AI63" s="3"/>
      <c r="AJ63" s="3">
        <f t="shared" si="38"/>
        <v>0.3595361762197646</v>
      </c>
      <c r="AK63" s="3">
        <f t="shared" si="39"/>
        <v>-0.4442574047465421</v>
      </c>
      <c r="AL63" s="3"/>
      <c r="AM63" s="3"/>
      <c r="AO63" t="s">
        <v>290</v>
      </c>
      <c r="AP63" s="3">
        <v>0.062</v>
      </c>
      <c r="AQ63" s="3">
        <f t="shared" si="28"/>
        <v>-1.207608310501746</v>
      </c>
      <c r="AR63" s="3"/>
      <c r="AS63" s="3"/>
      <c r="AT63" s="3">
        <f t="shared" si="29"/>
        <v>0.06400532997591245</v>
      </c>
      <c r="AU63" s="3">
        <f t="shared" si="30"/>
        <v>-1.1937838590982317</v>
      </c>
      <c r="AV63" s="3"/>
      <c r="AW63" s="3"/>
      <c r="AZ63" s="3">
        <v>0.9670000000000001</v>
      </c>
    </row>
    <row r="64" spans="1:52" ht="12.75">
      <c r="A64" t="s">
        <v>290</v>
      </c>
      <c r="B64">
        <v>73</v>
      </c>
      <c r="C64">
        <v>185</v>
      </c>
      <c r="D64">
        <v>66</v>
      </c>
      <c r="F64" t="s">
        <v>290</v>
      </c>
      <c r="G64" t="s">
        <v>475</v>
      </c>
      <c r="H64">
        <v>5.15</v>
      </c>
      <c r="I64">
        <v>14.2</v>
      </c>
      <c r="J64">
        <v>14</v>
      </c>
      <c r="K64" s="3">
        <f t="shared" si="2"/>
        <v>1.0142857142857142</v>
      </c>
      <c r="L64" s="3">
        <v>0.982</v>
      </c>
      <c r="M64" s="3">
        <f t="shared" si="31"/>
        <v>-0.00788851221305034</v>
      </c>
      <c r="N64" s="3">
        <f>AVERAGE(L63:L64)</f>
        <v>0.9630000000000001</v>
      </c>
      <c r="O64" s="3">
        <f>LOG10(N64)</f>
        <v>-0.01637371287546545</v>
      </c>
      <c r="P64" s="3">
        <f t="shared" si="32"/>
        <v>4.017383521085971</v>
      </c>
      <c r="Q64" s="3">
        <f t="shared" si="33"/>
        <v>0.6039432938030351</v>
      </c>
      <c r="R64" s="3">
        <f>-LN(1-N64)</f>
        <v>3.2968373663379147</v>
      </c>
      <c r="S64" s="3">
        <f>LOG10(R64)</f>
        <v>0.5180975238358722</v>
      </c>
      <c r="T64" s="3"/>
      <c r="U64" t="s">
        <v>290</v>
      </c>
      <c r="V64" s="3">
        <v>0.734</v>
      </c>
      <c r="W64" s="3">
        <f t="shared" si="34"/>
        <v>-0.13430394008392949</v>
      </c>
      <c r="X64" s="3">
        <f>AVERAGE(V63:V64)</f>
        <v>0.657</v>
      </c>
      <c r="Y64" s="3">
        <f>LOG10(X64)</f>
        <v>-0.18243463044021918</v>
      </c>
      <c r="Z64" s="3">
        <f t="shared" si="35"/>
        <v>1.324258970200438</v>
      </c>
      <c r="AA64" s="3">
        <f t="shared" si="36"/>
        <v>0.12197292342025187</v>
      </c>
      <c r="AB64" s="3">
        <f>-LN(1-X64)</f>
        <v>1.0700248318161971</v>
      </c>
      <c r="AC64" s="3">
        <f>LOG10(AB64)</f>
        <v>0.029393856372699798</v>
      </c>
      <c r="AE64" t="s">
        <v>290</v>
      </c>
      <c r="AF64" s="3">
        <v>0.221</v>
      </c>
      <c r="AG64" s="3">
        <f t="shared" si="37"/>
        <v>-0.6556077263148893</v>
      </c>
      <c r="AH64" s="3">
        <f>AVERAGE(AF63:AF64)</f>
        <v>0.2615</v>
      </c>
      <c r="AI64" s="3">
        <f>LOG10(AH64)</f>
        <v>-0.582528306796707</v>
      </c>
      <c r="AJ64" s="3">
        <f t="shared" si="38"/>
        <v>0.24974423311138877</v>
      </c>
      <c r="AK64" s="3">
        <f t="shared" si="39"/>
        <v>-0.6025045313575061</v>
      </c>
      <c r="AL64" s="3">
        <f>-LN(1-AH64)</f>
        <v>0.3031341770107026</v>
      </c>
      <c r="AM64" s="3">
        <f>LOG10(AL64)</f>
        <v>-0.5183650961286154</v>
      </c>
      <c r="AO64" t="s">
        <v>290</v>
      </c>
      <c r="AP64" s="3">
        <v>0.027</v>
      </c>
      <c r="AQ64" s="3">
        <f t="shared" si="28"/>
        <v>-1.5686362358410126</v>
      </c>
      <c r="AR64" s="3">
        <f>AVERAGE(AP63:AP64)</f>
        <v>0.0445</v>
      </c>
      <c r="AS64" s="3">
        <f>LOG10(AR64)</f>
        <v>-1.3516399890190685</v>
      </c>
      <c r="AT64" s="3">
        <f t="shared" si="29"/>
        <v>0.027371196796132015</v>
      </c>
      <c r="AU64" s="3">
        <f t="shared" si="30"/>
        <v>-1.5627062127983993</v>
      </c>
      <c r="AV64" s="3">
        <f>-LN(1-AR64)</f>
        <v>0.045520515301809304</v>
      </c>
      <c r="AW64" s="3">
        <f>LOG10(AV64)</f>
        <v>-1.341792830280261</v>
      </c>
      <c r="AZ64" s="3">
        <v>0.968</v>
      </c>
    </row>
    <row r="65" spans="1:52" ht="12.75">
      <c r="A65" t="s">
        <v>291</v>
      </c>
      <c r="B65">
        <v>46</v>
      </c>
      <c r="C65">
        <v>185</v>
      </c>
      <c r="D65">
        <v>71</v>
      </c>
      <c r="F65" t="s">
        <v>291</v>
      </c>
      <c r="G65" t="s">
        <v>476</v>
      </c>
      <c r="H65">
        <v>3.8</v>
      </c>
      <c r="I65">
        <v>11</v>
      </c>
      <c r="J65">
        <v>14</v>
      </c>
      <c r="K65" s="3">
        <f t="shared" si="2"/>
        <v>0.7857142857142857</v>
      </c>
      <c r="L65" s="3">
        <v>0.9670000000000001</v>
      </c>
      <c r="M65" s="3">
        <f t="shared" si="31"/>
        <v>-0.01457352591699829</v>
      </c>
      <c r="N65" s="3"/>
      <c r="O65" s="3"/>
      <c r="P65" s="3">
        <f t="shared" si="32"/>
        <v>3.4112477175156593</v>
      </c>
      <c r="Q65" s="3">
        <f t="shared" si="33"/>
        <v>0.5329132580892579</v>
      </c>
      <c r="R65" s="3"/>
      <c r="S65" s="3"/>
      <c r="T65" s="3"/>
      <c r="U65" t="s">
        <v>291</v>
      </c>
      <c r="V65" s="3">
        <v>0.537</v>
      </c>
      <c r="W65" s="3">
        <f t="shared" si="34"/>
        <v>-0.27002571430044436</v>
      </c>
      <c r="X65" s="3"/>
      <c r="Y65" s="3"/>
      <c r="Z65" s="3">
        <f t="shared" si="35"/>
        <v>0.7700282248959031</v>
      </c>
      <c r="AA65" s="3">
        <f t="shared" si="36"/>
        <v>-0.1134933557471452</v>
      </c>
      <c r="AB65" s="3"/>
      <c r="AC65" s="3"/>
      <c r="AE65" t="s">
        <v>291</v>
      </c>
      <c r="AF65" s="3">
        <v>0.331</v>
      </c>
      <c r="AG65" s="3">
        <f t="shared" si="37"/>
        <v>-0.48017200622428113</v>
      </c>
      <c r="AH65" s="3"/>
      <c r="AI65" s="3"/>
      <c r="AJ65" s="3">
        <f t="shared" si="38"/>
        <v>0.4019712188539085</v>
      </c>
      <c r="AK65" s="3">
        <f t="shared" si="39"/>
        <v>-0.3958050412946385</v>
      </c>
      <c r="AL65" s="3"/>
      <c r="AM65" s="3"/>
      <c r="AO65" t="s">
        <v>291</v>
      </c>
      <c r="AP65" s="3">
        <v>0.099</v>
      </c>
      <c r="AQ65" s="3">
        <f t="shared" si="28"/>
        <v>-1.00436480540245</v>
      </c>
      <c r="AR65" s="3"/>
      <c r="AS65" s="3"/>
      <c r="AT65" s="3">
        <f t="shared" si="29"/>
        <v>0.1042500213737991</v>
      </c>
      <c r="AU65" s="3">
        <f t="shared" si="30"/>
        <v>-0.9819238473132259</v>
      </c>
      <c r="AV65" s="3"/>
      <c r="AW65" s="3"/>
      <c r="AZ65" s="3">
        <v>0.9690000000000001</v>
      </c>
    </row>
    <row r="66" spans="1:52" ht="12.75">
      <c r="A66" t="s">
        <v>291</v>
      </c>
      <c r="B66">
        <v>46</v>
      </c>
      <c r="C66">
        <v>185</v>
      </c>
      <c r="D66">
        <v>71</v>
      </c>
      <c r="F66" t="s">
        <v>291</v>
      </c>
      <c r="G66" t="s">
        <v>477</v>
      </c>
      <c r="H66">
        <v>5.04</v>
      </c>
      <c r="I66">
        <v>12.7</v>
      </c>
      <c r="J66">
        <v>14</v>
      </c>
      <c r="K66" s="3">
        <f t="shared" si="2"/>
        <v>0.9071428571428571</v>
      </c>
      <c r="L66" s="3">
        <v>0.966</v>
      </c>
      <c r="M66" s="3">
        <f t="shared" si="31"/>
        <v>-0.01502287358450667</v>
      </c>
      <c r="N66" s="3">
        <f>AVERAGE(L65:L66)</f>
        <v>0.9665</v>
      </c>
      <c r="O66" s="3">
        <f>LOG10(N66)</f>
        <v>-0.014798141635428173</v>
      </c>
      <c r="P66" s="3">
        <f t="shared" si="32"/>
        <v>3.381394754365975</v>
      </c>
      <c r="Q66" s="3">
        <f t="shared" si="33"/>
        <v>0.529095874591639</v>
      </c>
      <c r="R66" s="3">
        <f>-LN(1-N66)</f>
        <v>3.396209840151117</v>
      </c>
      <c r="S66" s="3">
        <f>LOG10(R66)</f>
        <v>0.5309945159665777</v>
      </c>
      <c r="T66" s="3"/>
      <c r="U66" t="s">
        <v>291</v>
      </c>
      <c r="V66" s="3">
        <v>0.74</v>
      </c>
      <c r="W66" s="3">
        <f t="shared" si="34"/>
        <v>-0.13076828026902382</v>
      </c>
      <c r="X66" s="3">
        <f>AVERAGE(V65:V66)</f>
        <v>0.6385000000000001</v>
      </c>
      <c r="Y66" s="3">
        <f>LOG10(X66)</f>
        <v>-0.19483909840056585</v>
      </c>
      <c r="Z66" s="3">
        <f t="shared" si="35"/>
        <v>1.3470736479666092</v>
      </c>
      <c r="AA66" s="3">
        <f t="shared" si="36"/>
        <v>0.1293913403637707</v>
      </c>
      <c r="AB66" s="3">
        <f>-LN(1-X66)</f>
        <v>1.0174932373833179</v>
      </c>
      <c r="AC66" s="3">
        <f>LOG10(AB66)</f>
        <v>0.00753153143350501</v>
      </c>
      <c r="AE66" t="s">
        <v>291</v>
      </c>
      <c r="AF66" s="3">
        <v>0.208</v>
      </c>
      <c r="AG66" s="3">
        <f t="shared" si="37"/>
        <v>-0.6819366650372385</v>
      </c>
      <c r="AH66" s="3">
        <f>AVERAGE(AF65:AF66)</f>
        <v>0.2695</v>
      </c>
      <c r="AI66" s="3">
        <f>LOG10(AH66)</f>
        <v>-0.5694412304772424</v>
      </c>
      <c r="AJ66" s="3">
        <f t="shared" si="38"/>
        <v>0.23319388716771117</v>
      </c>
      <c r="AK66" s="3">
        <f t="shared" si="39"/>
        <v>-0.6322828381502746</v>
      </c>
      <c r="AL66" s="3">
        <f>-LN(1-AH66)</f>
        <v>0.31402604779138293</v>
      </c>
      <c r="AM66" s="3">
        <f>LOG10(AL66)</f>
        <v>-0.5030343266309883</v>
      </c>
      <c r="AO66" t="s">
        <v>291</v>
      </c>
      <c r="AP66" s="3">
        <v>0.018</v>
      </c>
      <c r="AQ66" s="3">
        <f t="shared" si="28"/>
        <v>-1.7447274948966938</v>
      </c>
      <c r="AR66" s="3">
        <f>AVERAGE(AP65:AP66)</f>
        <v>0.0585</v>
      </c>
      <c r="AS66" s="3">
        <f>LOG10(AR66)</f>
        <v>-1.2328441339178196</v>
      </c>
      <c r="AT66" s="3">
        <f t="shared" si="29"/>
        <v>0.01816397062767118</v>
      </c>
      <c r="AU66" s="3">
        <f t="shared" si="30"/>
        <v>-1.7407892090530925</v>
      </c>
      <c r="AV66" s="3">
        <f>-LN(1-AR66)</f>
        <v>0.060280930884929945</v>
      </c>
      <c r="AW66" s="3">
        <f>LOG10(AV66)</f>
        <v>-1.2198200497371865</v>
      </c>
      <c r="AZ66" s="3">
        <v>0.971</v>
      </c>
    </row>
    <row r="67" spans="1:52" ht="12.75">
      <c r="A67" t="s">
        <v>292</v>
      </c>
      <c r="B67">
        <v>42</v>
      </c>
      <c r="C67">
        <v>200</v>
      </c>
      <c r="D67">
        <v>74</v>
      </c>
      <c r="F67" t="s">
        <v>292</v>
      </c>
      <c r="G67" t="s">
        <v>478</v>
      </c>
      <c r="H67">
        <v>3.76</v>
      </c>
      <c r="I67">
        <v>7.2</v>
      </c>
      <c r="J67">
        <v>14</v>
      </c>
      <c r="K67" s="3">
        <f t="shared" si="2"/>
        <v>0.5142857142857143</v>
      </c>
      <c r="L67" s="3">
        <v>0.737</v>
      </c>
      <c r="M67" s="3">
        <f t="shared" si="31"/>
        <v>-0.13253251214094852</v>
      </c>
      <c r="N67" s="3">
        <f>L67</f>
        <v>0.737</v>
      </c>
      <c r="O67" s="3">
        <f>LOG10(N67)</f>
        <v>-0.13253251214094852</v>
      </c>
      <c r="P67" s="3">
        <f t="shared" si="32"/>
        <v>1.3356012468043725</v>
      </c>
      <c r="Q67" s="3">
        <f t="shared" si="33"/>
        <v>0.1256768158031225</v>
      </c>
      <c r="R67" s="3">
        <f>-LN(1-N67)</f>
        <v>1.3356012468043725</v>
      </c>
      <c r="S67" s="3">
        <f>LOG10(R67)</f>
        <v>0.1256768158031225</v>
      </c>
      <c r="T67" s="3"/>
      <c r="U67" t="s">
        <v>292</v>
      </c>
      <c r="V67" s="3">
        <v>0.20800000000000002</v>
      </c>
      <c r="W67" s="3">
        <f t="shared" si="34"/>
        <v>-0.6819366650372384</v>
      </c>
      <c r="X67" s="3">
        <f>V67</f>
        <v>0.20800000000000002</v>
      </c>
      <c r="Y67" s="3">
        <f>LOG10(X67)</f>
        <v>-0.6819366650372384</v>
      </c>
      <c r="Z67" s="3">
        <f t="shared" si="35"/>
        <v>0.23319388716771117</v>
      </c>
      <c r="AA67" s="3">
        <f t="shared" si="36"/>
        <v>-0.6322828381502746</v>
      </c>
      <c r="AB67" s="3">
        <f>-LN(1-X67)</f>
        <v>0.23319388716771117</v>
      </c>
      <c r="AC67" s="3">
        <f>LOG10(AB67)</f>
        <v>-0.6322828381502746</v>
      </c>
      <c r="AE67" t="s">
        <v>292</v>
      </c>
      <c r="AF67" s="3">
        <v>0.467</v>
      </c>
      <c r="AG67" s="3">
        <f t="shared" si="37"/>
        <v>-0.3306831194338878</v>
      </c>
      <c r="AH67" s="3">
        <f>AF67</f>
        <v>0.467</v>
      </c>
      <c r="AI67" s="3">
        <f>LOG10(AH67)</f>
        <v>-0.3306831194338878</v>
      </c>
      <c r="AJ67" s="3">
        <f t="shared" si="38"/>
        <v>0.6292338548162927</v>
      </c>
      <c r="AK67" s="3">
        <f t="shared" si="39"/>
        <v>-0.20118791897252494</v>
      </c>
      <c r="AL67" s="3">
        <f>-LN(1-AH67)</f>
        <v>0.6292338548162927</v>
      </c>
      <c r="AM67" s="3">
        <f>LOG10(AL67)</f>
        <v>-0.20118791897252494</v>
      </c>
      <c r="AO67" t="s">
        <v>292</v>
      </c>
      <c r="AP67" s="3">
        <v>0.082</v>
      </c>
      <c r="AQ67" s="3">
        <f t="shared" si="28"/>
        <v>-1.0861861476162833</v>
      </c>
      <c r="AR67" s="3">
        <f>AP67</f>
        <v>0.082</v>
      </c>
      <c r="AS67" s="3">
        <f>LOG10(AR67)</f>
        <v>-1.0861861476162833</v>
      </c>
      <c r="AT67" s="3">
        <f t="shared" si="29"/>
        <v>0.08555788836164653</v>
      </c>
      <c r="AU67" s="3">
        <f t="shared" si="30"/>
        <v>-1.0677399427096919</v>
      </c>
      <c r="AV67" s="3">
        <f>-LN(1-AR67)</f>
        <v>0.08555788836164653</v>
      </c>
      <c r="AW67" s="3">
        <f>LOG10(AV67)</f>
        <v>-1.0677399427096919</v>
      </c>
      <c r="AZ67" s="3">
        <v>0.972</v>
      </c>
    </row>
    <row r="68" spans="1:52" ht="12.75">
      <c r="A68" t="s">
        <v>293</v>
      </c>
      <c r="B68">
        <v>25</v>
      </c>
      <c r="C68">
        <v>167</v>
      </c>
      <c r="D68">
        <v>69</v>
      </c>
      <c r="F68" t="s">
        <v>293</v>
      </c>
      <c r="G68" t="s">
        <v>479</v>
      </c>
      <c r="H68">
        <v>3.56</v>
      </c>
      <c r="I68">
        <v>12.6</v>
      </c>
      <c r="J68">
        <v>14</v>
      </c>
      <c r="K68" s="3">
        <f t="shared" si="2"/>
        <v>0.9</v>
      </c>
      <c r="L68" s="3">
        <v>0.991</v>
      </c>
      <c r="M68" s="3">
        <f t="shared" si="31"/>
        <v>-0.003926345514724675</v>
      </c>
      <c r="N68" s="3"/>
      <c r="O68" s="3"/>
      <c r="P68" s="3">
        <f t="shared" si="32"/>
        <v>4.710530701645917</v>
      </c>
      <c r="Q68" s="3">
        <f t="shared" si="33"/>
        <v>0.6730698387239202</v>
      </c>
      <c r="R68" s="3"/>
      <c r="S68" s="3"/>
      <c r="T68" s="3"/>
      <c r="U68" t="s">
        <v>293</v>
      </c>
      <c r="V68" s="3">
        <v>0.752</v>
      </c>
      <c r="W68" s="3">
        <f t="shared" si="34"/>
        <v>-0.12378215940835775</v>
      </c>
      <c r="X68" s="3"/>
      <c r="Y68" s="3"/>
      <c r="Z68" s="3">
        <f t="shared" si="35"/>
        <v>1.3943265328171548</v>
      </c>
      <c r="AA68" s="3">
        <f t="shared" si="36"/>
        <v>0.1443644916918169</v>
      </c>
      <c r="AB68" s="3"/>
      <c r="AC68" s="3"/>
      <c r="AE68" t="s">
        <v>293</v>
      </c>
      <c r="AF68" s="3">
        <v>0.213</v>
      </c>
      <c r="AG68" s="3">
        <f t="shared" si="37"/>
        <v>-0.6716203965612623</v>
      </c>
      <c r="AH68" s="3"/>
      <c r="AI68" s="3"/>
      <c r="AJ68" s="3">
        <f t="shared" si="38"/>
        <v>0.23952703056473382</v>
      </c>
      <c r="AK68" s="3">
        <f t="shared" si="39"/>
        <v>-0.6206454694615373</v>
      </c>
      <c r="AL68" s="3"/>
      <c r="AM68" s="3"/>
      <c r="AO68" t="s">
        <v>293</v>
      </c>
      <c r="AP68" s="3">
        <v>0.026</v>
      </c>
      <c r="AQ68" s="3">
        <f t="shared" si="28"/>
        <v>-1.585026652029182</v>
      </c>
      <c r="AR68" s="3"/>
      <c r="AS68" s="3"/>
      <c r="AT68" s="3">
        <f t="shared" si="29"/>
        <v>0.026343975339601977</v>
      </c>
      <c r="AU68" s="3">
        <f t="shared" si="30"/>
        <v>-1.5793186888357704</v>
      </c>
      <c r="AV68" s="3"/>
      <c r="AW68" s="3"/>
      <c r="AZ68" s="3">
        <v>0.972</v>
      </c>
    </row>
    <row r="69" spans="1:52" ht="12.75">
      <c r="A69" t="s">
        <v>293</v>
      </c>
      <c r="B69">
        <v>25</v>
      </c>
      <c r="C69">
        <v>167</v>
      </c>
      <c r="D69">
        <v>69</v>
      </c>
      <c r="F69" t="s">
        <v>293</v>
      </c>
      <c r="G69" t="s">
        <v>480</v>
      </c>
      <c r="H69">
        <v>4.86</v>
      </c>
      <c r="I69">
        <v>10.6</v>
      </c>
      <c r="J69">
        <v>14</v>
      </c>
      <c r="K69" s="3">
        <f aca="true" t="shared" si="40" ref="K69:K96">I69/J69</f>
        <v>0.7571428571428571</v>
      </c>
      <c r="L69" s="3">
        <v>0.98</v>
      </c>
      <c r="M69" s="3">
        <f t="shared" si="31"/>
        <v>-0.00877392430750515</v>
      </c>
      <c r="N69" s="3"/>
      <c r="O69" s="3"/>
      <c r="P69" s="3">
        <f t="shared" si="32"/>
        <v>3.912023005428145</v>
      </c>
      <c r="Q69" s="3">
        <f t="shared" si="33"/>
        <v>0.5924014000780177</v>
      </c>
      <c r="R69" s="3"/>
      <c r="S69" s="3"/>
      <c r="T69" s="3"/>
      <c r="U69" t="s">
        <v>293</v>
      </c>
      <c r="V69" s="3">
        <v>0.804</v>
      </c>
      <c r="W69" s="3">
        <f t="shared" si="34"/>
        <v>-0.0947439512515487</v>
      </c>
      <c r="X69" s="3"/>
      <c r="Y69" s="3"/>
      <c r="Z69" s="3">
        <f t="shared" si="35"/>
        <v>1.62964061975162</v>
      </c>
      <c r="AA69" s="3">
        <f t="shared" si="36"/>
        <v>0.21209184117259844</v>
      </c>
      <c r="AB69" s="3"/>
      <c r="AC69" s="3"/>
      <c r="AE69" t="s">
        <v>293</v>
      </c>
      <c r="AF69" s="3">
        <v>0.171</v>
      </c>
      <c r="AG69" s="3">
        <f t="shared" si="37"/>
        <v>-0.7670038896078462</v>
      </c>
      <c r="AH69" s="3"/>
      <c r="AI69" s="3"/>
      <c r="AJ69" s="3">
        <f t="shared" si="38"/>
        <v>0.18753512384684212</v>
      </c>
      <c r="AK69" s="3">
        <f t="shared" si="39"/>
        <v>-0.7269173803933715</v>
      </c>
      <c r="AL69" s="3"/>
      <c r="AM69" s="3"/>
      <c r="AO69" t="s">
        <v>293</v>
      </c>
      <c r="AP69" s="3">
        <v>0.005</v>
      </c>
      <c r="AQ69" s="3">
        <f t="shared" si="28"/>
        <v>-2.301029995663981</v>
      </c>
      <c r="AR69" s="3"/>
      <c r="AS69" s="3"/>
      <c r="AT69" s="3">
        <f t="shared" si="29"/>
        <v>0.005012541823544285</v>
      </c>
      <c r="AU69" s="3">
        <f t="shared" si="30"/>
        <v>-2.2999419906991987</v>
      </c>
      <c r="AV69" s="3"/>
      <c r="AW69" s="3"/>
      <c r="AZ69" s="3">
        <v>0.972</v>
      </c>
    </row>
    <row r="70" spans="1:52" ht="12.75">
      <c r="A70" t="s">
        <v>293</v>
      </c>
      <c r="B70">
        <v>25</v>
      </c>
      <c r="C70">
        <v>167</v>
      </c>
      <c r="D70">
        <v>69</v>
      </c>
      <c r="F70" t="s">
        <v>293</v>
      </c>
      <c r="G70" t="s">
        <v>481</v>
      </c>
      <c r="H70">
        <v>1.82</v>
      </c>
      <c r="I70">
        <v>11.2</v>
      </c>
      <c r="J70">
        <v>14</v>
      </c>
      <c r="K70" s="3">
        <f t="shared" si="40"/>
        <v>0.7999999999999999</v>
      </c>
      <c r="L70" s="3">
        <v>0.85</v>
      </c>
      <c r="M70" s="3">
        <f t="shared" si="31"/>
        <v>-0.07058107428570726</v>
      </c>
      <c r="N70" s="3"/>
      <c r="O70" s="3"/>
      <c r="P70" s="3">
        <f t="shared" si="32"/>
        <v>1.8971199848858813</v>
      </c>
      <c r="Q70" s="3">
        <f t="shared" si="33"/>
        <v>0.2780947990626133</v>
      </c>
      <c r="R70" s="3"/>
      <c r="S70" s="3"/>
      <c r="T70" s="3"/>
      <c r="U70" t="s">
        <v>293</v>
      </c>
      <c r="V70" s="3">
        <v>0.21</v>
      </c>
      <c r="W70" s="3">
        <f t="shared" si="34"/>
        <v>-0.6777807052660807</v>
      </c>
      <c r="X70" s="3"/>
      <c r="Y70" s="3"/>
      <c r="Z70" s="3">
        <f t="shared" si="35"/>
        <v>0.23572233352106983</v>
      </c>
      <c r="AA70" s="3">
        <f t="shared" si="36"/>
        <v>-0.6275992682798079</v>
      </c>
      <c r="AB70" s="3"/>
      <c r="AC70" s="3"/>
      <c r="AE70" t="s">
        <v>293</v>
      </c>
      <c r="AF70" s="3">
        <v>0.32</v>
      </c>
      <c r="AG70" s="3">
        <f t="shared" si="37"/>
        <v>-0.494850021680094</v>
      </c>
      <c r="AH70" s="3"/>
      <c r="AI70" s="3"/>
      <c r="AJ70" s="3">
        <f t="shared" si="38"/>
        <v>0.3856624808119848</v>
      </c>
      <c r="AK70" s="3">
        <f t="shared" si="39"/>
        <v>-0.41379260943288027</v>
      </c>
      <c r="AL70" s="3"/>
      <c r="AM70" s="3"/>
      <c r="AO70" t="s">
        <v>293</v>
      </c>
      <c r="AP70" s="3">
        <v>0.32</v>
      </c>
      <c r="AQ70" s="3">
        <f t="shared" si="28"/>
        <v>-0.494850021680094</v>
      </c>
      <c r="AR70" s="3"/>
      <c r="AS70" s="3"/>
      <c r="AT70" s="3">
        <f t="shared" si="29"/>
        <v>0.3856624808119848</v>
      </c>
      <c r="AU70" s="3">
        <f t="shared" si="30"/>
        <v>-0.41379260943288027</v>
      </c>
      <c r="AV70" s="3"/>
      <c r="AW70" s="3"/>
      <c r="AZ70" s="3">
        <v>0.973</v>
      </c>
    </row>
    <row r="71" spans="1:52" ht="12.75">
      <c r="A71" t="s">
        <v>293</v>
      </c>
      <c r="B71">
        <v>25</v>
      </c>
      <c r="C71">
        <v>167</v>
      </c>
      <c r="D71">
        <v>69</v>
      </c>
      <c r="F71" t="s">
        <v>293</v>
      </c>
      <c r="G71" t="s">
        <v>602</v>
      </c>
      <c r="H71">
        <v>2.42</v>
      </c>
      <c r="I71">
        <v>13.8</v>
      </c>
      <c r="J71">
        <v>14</v>
      </c>
      <c r="K71" s="3">
        <f t="shared" si="40"/>
        <v>0.9857142857142858</v>
      </c>
      <c r="L71" s="3">
        <v>0.907</v>
      </c>
      <c r="M71" s="3">
        <f t="shared" si="31"/>
        <v>-0.042392712939904736</v>
      </c>
      <c r="N71" s="3">
        <f>AVERAGE(L68:L71)</f>
        <v>0.932</v>
      </c>
      <c r="O71" s="3">
        <f>LOG10(N71)</f>
        <v>-0.03058408764601861</v>
      </c>
      <c r="P71" s="3">
        <f t="shared" si="32"/>
        <v>2.3751557858288814</v>
      </c>
      <c r="Q71" s="3">
        <f t="shared" si="33"/>
        <v>0.37569210015330373</v>
      </c>
      <c r="R71" s="3">
        <f>-LN(1-N71)</f>
        <v>2.688247573806031</v>
      </c>
      <c r="S71" s="3">
        <f>LOG10(R71)</f>
        <v>0.4294692625167035</v>
      </c>
      <c r="T71" s="3"/>
      <c r="U71" t="s">
        <v>293</v>
      </c>
      <c r="V71" s="3">
        <v>0.304</v>
      </c>
      <c r="W71" s="3">
        <f t="shared" si="34"/>
        <v>-0.5171264163912462</v>
      </c>
      <c r="X71" s="3">
        <f>AVERAGE(V68:V71)</f>
        <v>0.5175</v>
      </c>
      <c r="Y71" s="3">
        <f>LOG10(X71)</f>
        <v>-0.2860896458710447</v>
      </c>
      <c r="Z71" s="3">
        <f t="shared" si="35"/>
        <v>0.3624056186477174</v>
      </c>
      <c r="AA71" s="3">
        <f t="shared" si="36"/>
        <v>-0.44080507774802913</v>
      </c>
      <c r="AB71" s="3">
        <f>-LN(1-X71)</f>
        <v>0.7287743582030963</v>
      </c>
      <c r="AC71" s="3">
        <f>LOG10(AB71)</f>
        <v>-0.13740691634077953</v>
      </c>
      <c r="AE71" t="s">
        <v>293</v>
      </c>
      <c r="AF71" s="3">
        <v>0.41</v>
      </c>
      <c r="AG71" s="3">
        <f t="shared" si="37"/>
        <v>-0.38721614328026455</v>
      </c>
      <c r="AH71" s="3">
        <f>AVERAGE(AF68:AF71)</f>
        <v>0.27849999999999997</v>
      </c>
      <c r="AI71" s="3">
        <f>LOG10(AH71)</f>
        <v>-0.5551748004902524</v>
      </c>
      <c r="AJ71" s="3">
        <f t="shared" si="38"/>
        <v>0.5276327420823718</v>
      </c>
      <c r="AK71" s="3">
        <f t="shared" si="39"/>
        <v>-0.27766826228319447</v>
      </c>
      <c r="AL71" s="3">
        <f>-LN(1-AH71)</f>
        <v>0.32642290076821145</v>
      </c>
      <c r="AM71" s="3">
        <f>LOG10(AL71)</f>
        <v>-0.4862193801621125</v>
      </c>
      <c r="AO71" t="s">
        <v>293</v>
      </c>
      <c r="AP71" s="3">
        <v>0.193</v>
      </c>
      <c r="AQ71" s="3">
        <f t="shared" si="28"/>
        <v>-0.7144426909922262</v>
      </c>
      <c r="AR71" s="3">
        <f>AVERAGE(AP68:AP71)</f>
        <v>0.136</v>
      </c>
      <c r="AS71" s="3">
        <f>LOG10(AR71)</f>
        <v>-0.8664610916297824</v>
      </c>
      <c r="AT71" s="3">
        <f t="shared" si="29"/>
        <v>0.21443161071218833</v>
      </c>
      <c r="AU71" s="3">
        <f t="shared" si="30"/>
        <v>-0.6687111921792167</v>
      </c>
      <c r="AV71" s="3">
        <f>-LN(1-AR71)</f>
        <v>0.14618251017808143</v>
      </c>
      <c r="AW71" s="3">
        <f>LOG10(AV71)</f>
        <v>-0.8351045848851456</v>
      </c>
      <c r="AZ71" s="3">
        <v>0.973</v>
      </c>
    </row>
    <row r="72" spans="1:52" ht="12.75">
      <c r="A72" t="s">
        <v>294</v>
      </c>
      <c r="B72">
        <v>26</v>
      </c>
      <c r="C72">
        <v>180</v>
      </c>
      <c r="D72">
        <v>74</v>
      </c>
      <c r="F72" t="s">
        <v>294</v>
      </c>
      <c r="G72" t="s">
        <v>238</v>
      </c>
      <c r="H72">
        <v>4.12</v>
      </c>
      <c r="I72">
        <v>15.9</v>
      </c>
      <c r="J72">
        <v>14</v>
      </c>
      <c r="K72" s="3">
        <f t="shared" si="40"/>
        <v>1.1357142857142857</v>
      </c>
      <c r="L72" s="3">
        <v>0.951</v>
      </c>
      <c r="M72" s="3">
        <f t="shared" si="31"/>
        <v>-0.021819483062586083</v>
      </c>
      <c r="N72" s="3"/>
      <c r="O72" s="3"/>
      <c r="P72" s="3">
        <f t="shared" si="32"/>
        <v>3.0159349808715095</v>
      </c>
      <c r="Q72" s="3">
        <f t="shared" si="33"/>
        <v>0.47942197454750485</v>
      </c>
      <c r="R72" s="3"/>
      <c r="S72" s="3"/>
      <c r="T72" s="3"/>
      <c r="U72" t="s">
        <v>294</v>
      </c>
      <c r="V72" s="3">
        <v>0.643</v>
      </c>
      <c r="W72" s="3">
        <f t="shared" si="34"/>
        <v>-0.1917890270757779</v>
      </c>
      <c r="X72" s="3"/>
      <c r="Y72" s="3"/>
      <c r="Z72" s="3">
        <f t="shared" si="35"/>
        <v>1.030019497202498</v>
      </c>
      <c r="AA72" s="3">
        <f t="shared" si="36"/>
        <v>0.01284544552780929</v>
      </c>
      <c r="AB72" s="3"/>
      <c r="AC72" s="3"/>
      <c r="AE72" t="s">
        <v>294</v>
      </c>
      <c r="AF72" s="3">
        <v>0.24</v>
      </c>
      <c r="AG72" s="3">
        <f t="shared" si="37"/>
        <v>-0.619788758288394</v>
      </c>
      <c r="AH72" s="3"/>
      <c r="AI72" s="3"/>
      <c r="AJ72" s="3">
        <f t="shared" si="38"/>
        <v>0.27443684570176025</v>
      </c>
      <c r="AK72" s="3">
        <f t="shared" si="39"/>
        <v>-0.5615575809729126</v>
      </c>
      <c r="AL72" s="3"/>
      <c r="AM72" s="3"/>
      <c r="AO72" t="s">
        <v>294</v>
      </c>
      <c r="AP72" s="3">
        <v>0.068</v>
      </c>
      <c r="AQ72" s="3">
        <f t="shared" si="28"/>
        <v>-1.1674910872937636</v>
      </c>
      <c r="AR72" s="3"/>
      <c r="AS72" s="3"/>
      <c r="AT72" s="3">
        <f t="shared" si="29"/>
        <v>0.07042246429654592</v>
      </c>
      <c r="AU72" s="3">
        <f t="shared" si="30"/>
        <v>-1.1522887817130636</v>
      </c>
      <c r="AV72" s="3"/>
      <c r="AW72" s="3"/>
      <c r="AZ72" s="3">
        <v>0.973</v>
      </c>
    </row>
    <row r="73" spans="1:52" ht="12.75">
      <c r="A73" t="s">
        <v>294</v>
      </c>
      <c r="B73">
        <v>26</v>
      </c>
      <c r="C73">
        <v>180</v>
      </c>
      <c r="D73">
        <v>74</v>
      </c>
      <c r="F73" t="s">
        <v>294</v>
      </c>
      <c r="G73" t="s">
        <v>239</v>
      </c>
      <c r="H73">
        <v>5.08</v>
      </c>
      <c r="I73">
        <v>17.1</v>
      </c>
      <c r="J73">
        <v>14</v>
      </c>
      <c r="K73" s="3">
        <f t="shared" si="40"/>
        <v>1.2214285714285715</v>
      </c>
      <c r="L73" s="3">
        <v>0.966</v>
      </c>
      <c r="M73" s="3">
        <f t="shared" si="31"/>
        <v>-0.01502287358450667</v>
      </c>
      <c r="N73" s="3">
        <f>AVERAGE(L72:L73)</f>
        <v>0.9584999999999999</v>
      </c>
      <c r="O73" s="3">
        <f>LOG10(N73)</f>
        <v>-0.018407882785918636</v>
      </c>
      <c r="P73" s="3">
        <f t="shared" si="32"/>
        <v>3.381394754365975</v>
      </c>
      <c r="Q73" s="3">
        <f t="shared" si="33"/>
        <v>0.529095874591639</v>
      </c>
      <c r="R73" s="3">
        <f>-LN(1-N73)</f>
        <v>3.182061851745482</v>
      </c>
      <c r="S73" s="3">
        <f>LOG10(R73)</f>
        <v>0.5027086170486809</v>
      </c>
      <c r="T73" s="3"/>
      <c r="U73" t="s">
        <v>294</v>
      </c>
      <c r="V73" s="3">
        <v>0.768</v>
      </c>
      <c r="W73" s="3">
        <f t="shared" si="34"/>
        <v>-0.11463877996848798</v>
      </c>
      <c r="X73" s="3">
        <f>AVERAGE(V72:V73)</f>
        <v>0.7055</v>
      </c>
      <c r="Y73" s="3">
        <f>LOG10(X73)</f>
        <v>-0.15150298190963335</v>
      </c>
      <c r="Z73" s="3">
        <f t="shared" si="35"/>
        <v>1.4610179073158271</v>
      </c>
      <c r="AA73" s="3">
        <f t="shared" si="36"/>
        <v>0.1646555390012294</v>
      </c>
      <c r="AB73" s="3">
        <f>-LN(1-X73)</f>
        <v>1.2224762758904957</v>
      </c>
      <c r="AC73" s="3">
        <f>LOG10(AB73)</f>
        <v>0.08724043969764503</v>
      </c>
      <c r="AE73" t="s">
        <v>294</v>
      </c>
      <c r="AF73" s="3">
        <v>0.172</v>
      </c>
      <c r="AG73" s="3">
        <f t="shared" si="37"/>
        <v>-0.7644715530924511</v>
      </c>
      <c r="AH73" s="3">
        <f>AVERAGE(AF72:AF73)</f>
        <v>0.206</v>
      </c>
      <c r="AI73" s="3">
        <f>LOG10(AH73)</f>
        <v>-0.6861327796308466</v>
      </c>
      <c r="AJ73" s="3">
        <f t="shared" si="38"/>
        <v>0.18874212459687728</v>
      </c>
      <c r="AK73" s="3">
        <f t="shared" si="39"/>
        <v>-0.7241311605754579</v>
      </c>
      <c r="AL73" s="3">
        <f>-LN(1-AH73)</f>
        <v>0.23067181773500126</v>
      </c>
      <c r="AM73" s="3">
        <f>LOG10(AL73)</f>
        <v>-0.6370054620450912</v>
      </c>
      <c r="AO73" t="s">
        <v>294</v>
      </c>
      <c r="AP73" s="3">
        <v>0.026</v>
      </c>
      <c r="AQ73" s="3">
        <f t="shared" si="28"/>
        <v>-1.585026652029182</v>
      </c>
      <c r="AR73" s="3">
        <f>AVERAGE(AP72:AP73)</f>
        <v>0.047</v>
      </c>
      <c r="AS73" s="3">
        <f>LOG10(AR73)</f>
        <v>-1.3279021420642825</v>
      </c>
      <c r="AT73" s="3">
        <f t="shared" si="29"/>
        <v>0.026343975339601977</v>
      </c>
      <c r="AU73" s="3">
        <f t="shared" si="30"/>
        <v>-1.5793186888357704</v>
      </c>
      <c r="AV73" s="3">
        <f>-LN(1-AR73)</f>
        <v>0.04814037532793499</v>
      </c>
      <c r="AW73" s="3">
        <f>LOG10(AV73)</f>
        <v>-1.3174905280573401</v>
      </c>
      <c r="AZ73" s="3">
        <v>0.9740000000000001</v>
      </c>
    </row>
    <row r="74" spans="1:52" ht="12.75">
      <c r="A74" t="s">
        <v>573</v>
      </c>
      <c r="B74">
        <v>24</v>
      </c>
      <c r="C74">
        <v>126</v>
      </c>
      <c r="D74">
        <v>62</v>
      </c>
      <c r="F74" t="s">
        <v>573</v>
      </c>
      <c r="G74" t="s">
        <v>240</v>
      </c>
      <c r="H74">
        <v>5.48</v>
      </c>
      <c r="I74">
        <v>13.9</v>
      </c>
      <c r="J74">
        <v>14</v>
      </c>
      <c r="K74" s="3">
        <f t="shared" si="40"/>
        <v>0.9928571428571429</v>
      </c>
      <c r="L74" s="3"/>
      <c r="M74" s="3"/>
      <c r="N74" s="3"/>
      <c r="O74" s="3"/>
      <c r="P74" s="3"/>
      <c r="Q74" s="3"/>
      <c r="R74" s="3"/>
      <c r="S74" s="3"/>
      <c r="T74" s="3"/>
      <c r="U74" t="s">
        <v>573</v>
      </c>
      <c r="V74" s="3">
        <v>0.511</v>
      </c>
      <c r="W74" s="3"/>
      <c r="X74" s="3"/>
      <c r="Y74" s="3"/>
      <c r="Z74" s="3"/>
      <c r="AA74" s="3"/>
      <c r="AB74" s="3"/>
      <c r="AC74" s="3"/>
      <c r="AE74" t="s">
        <v>573</v>
      </c>
      <c r="AF74" s="3">
        <v>0.469</v>
      </c>
      <c r="AG74" s="3">
        <f>LOG10(AF74)</f>
        <v>-0.32882715728491674</v>
      </c>
      <c r="AH74" s="3">
        <f>AF74</f>
        <v>0.469</v>
      </c>
      <c r="AI74" s="3">
        <f>LOG10(AH74)</f>
        <v>-0.32882715728491674</v>
      </c>
      <c r="AJ74" s="3">
        <f>-LN(1-AF74)</f>
        <v>0.6329932577401982</v>
      </c>
      <c r="AK74" s="3">
        <f>LOG10(AJ74)</f>
        <v>-0.19860091579910893</v>
      </c>
      <c r="AL74" s="3">
        <f>-LN(1-AH74)</f>
        <v>0.6329932577401982</v>
      </c>
      <c r="AM74" s="3">
        <f>LOG10(AL74)</f>
        <v>-0.19860091579910893</v>
      </c>
      <c r="AO74" t="s">
        <v>573</v>
      </c>
      <c r="AP74" s="3">
        <v>0.02</v>
      </c>
      <c r="AQ74" s="3">
        <f>LOG10(AP74)</f>
        <v>-1.6989700043360187</v>
      </c>
      <c r="AR74" s="3">
        <f>AP74</f>
        <v>0.02</v>
      </c>
      <c r="AS74" s="3">
        <f>LOG10(AR74)</f>
        <v>-1.6989700043360187</v>
      </c>
      <c r="AT74" s="3">
        <f>-LN(1-AP74)</f>
        <v>0.020202707317519466</v>
      </c>
      <c r="AU74" s="3">
        <f>LOG10(AT74)</f>
        <v>-1.6945904278665125</v>
      </c>
      <c r="AV74" s="3">
        <f>-LN(1-AR74)</f>
        <v>0.020202707317519466</v>
      </c>
      <c r="AW74" s="3">
        <f>LOG10(AV74)</f>
        <v>-1.6945904278665125</v>
      </c>
      <c r="AZ74" s="3">
        <v>0.976</v>
      </c>
    </row>
    <row r="75" spans="1:52" ht="12.75">
      <c r="A75" t="s">
        <v>574</v>
      </c>
      <c r="B75">
        <v>26</v>
      </c>
      <c r="C75">
        <v>210</v>
      </c>
      <c r="D75">
        <v>74</v>
      </c>
      <c r="F75" t="s">
        <v>574</v>
      </c>
      <c r="G75" t="s">
        <v>263</v>
      </c>
      <c r="H75">
        <v>3.76</v>
      </c>
      <c r="I75">
        <v>14.6</v>
      </c>
      <c r="J75">
        <v>14</v>
      </c>
      <c r="K75" s="3">
        <f t="shared" si="40"/>
        <v>1.042857142857143</v>
      </c>
      <c r="L75" s="3">
        <v>0.9179999999999999</v>
      </c>
      <c r="M75" s="3">
        <f aca="true" t="shared" si="41" ref="M75:M96">LOG10(L75)</f>
        <v>-0.03715731879875759</v>
      </c>
      <c r="N75" s="3"/>
      <c r="O75" s="3"/>
      <c r="P75" s="3">
        <f aca="true" t="shared" si="42" ref="P75:P96">-LN(1-L75)</f>
        <v>2.501036031717883</v>
      </c>
      <c r="Q75" s="3">
        <f aca="true" t="shared" si="43" ref="Q75:Q96">LOG10(P75)</f>
        <v>0.39811994853319294</v>
      </c>
      <c r="R75" s="3"/>
      <c r="S75" s="3"/>
      <c r="T75" s="3"/>
      <c r="U75" t="s">
        <v>574</v>
      </c>
      <c r="V75" s="3">
        <v>0.5770000000000001</v>
      </c>
      <c r="W75" s="3">
        <f aca="true" t="shared" si="44" ref="W75:W96">LOG10(V75)</f>
        <v>-0.2388241868442685</v>
      </c>
      <c r="X75" s="3"/>
      <c r="Y75" s="3"/>
      <c r="Z75" s="3">
        <f aca="true" t="shared" si="45" ref="Z75:Z96">-LN(1-V75)</f>
        <v>0.8603830999358593</v>
      </c>
      <c r="AA75" s="3">
        <f aca="true" t="shared" si="46" ref="AA75:AA96">LOG10(Z75)</f>
        <v>-0.06530812882465374</v>
      </c>
      <c r="AB75" s="3"/>
      <c r="AC75" s="3"/>
      <c r="AE75" t="s">
        <v>574</v>
      </c>
      <c r="AF75" s="3">
        <v>0.231</v>
      </c>
      <c r="AG75" s="3">
        <f aca="true" t="shared" si="47" ref="AG75:AG96">LOG10(AF75)</f>
        <v>-0.6363880201078557</v>
      </c>
      <c r="AH75" s="3"/>
      <c r="AI75" s="3"/>
      <c r="AJ75" s="3">
        <f aca="true" t="shared" si="48" ref="AJ75:AJ96">-LN(1-AF75)</f>
        <v>0.26266430947649305</v>
      </c>
      <c r="AK75" s="3">
        <f aca="true" t="shared" si="49" ref="AK75:AK96">LOG10(AJ75)</f>
        <v>-0.5805989346385284</v>
      </c>
      <c r="AL75" s="3"/>
      <c r="AM75" s="3"/>
      <c r="AO75" t="s">
        <v>574</v>
      </c>
      <c r="AP75" s="3">
        <v>0.072</v>
      </c>
      <c r="AQ75" s="3">
        <f aca="true" t="shared" si="50" ref="AQ75:AQ95">LOG10(AP75)</f>
        <v>-1.1426675035687317</v>
      </c>
      <c r="AR75" s="3"/>
      <c r="AS75" s="3"/>
      <c r="AT75" s="3">
        <f aca="true" t="shared" si="51" ref="AT75:AT96">-LN(1-AP75)</f>
        <v>0.07472354619593644</v>
      </c>
      <c r="AU75" s="3">
        <f aca="true" t="shared" si="52" ref="AU75:AU95">LOG10(AT75)</f>
        <v>-1.1265425257396622</v>
      </c>
      <c r="AV75" s="3"/>
      <c r="AW75" s="3"/>
      <c r="AZ75" s="3">
        <v>0.977</v>
      </c>
    </row>
    <row r="76" spans="1:52" ht="12.75">
      <c r="A76" t="s">
        <v>574</v>
      </c>
      <c r="B76">
        <v>26</v>
      </c>
      <c r="C76">
        <v>210</v>
      </c>
      <c r="D76">
        <v>74</v>
      </c>
      <c r="F76" t="s">
        <v>574</v>
      </c>
      <c r="G76" t="s">
        <v>264</v>
      </c>
      <c r="H76">
        <v>5.02</v>
      </c>
      <c r="I76">
        <v>12.9</v>
      </c>
      <c r="J76">
        <v>14</v>
      </c>
      <c r="K76" s="3">
        <f t="shared" si="40"/>
        <v>0.9214285714285715</v>
      </c>
      <c r="L76" s="3">
        <v>0.943</v>
      </c>
      <c r="M76" s="3">
        <f t="shared" si="41"/>
        <v>-0.025488307262671647</v>
      </c>
      <c r="N76" s="3">
        <f>AVERAGE(L75:L76)</f>
        <v>0.9304999999999999</v>
      </c>
      <c r="O76" s="3">
        <f>LOG10(N76)</f>
        <v>-0.03128362253321424</v>
      </c>
      <c r="P76" s="3">
        <f t="shared" si="42"/>
        <v>2.864704011147586</v>
      </c>
      <c r="Q76" s="3">
        <f t="shared" si="43"/>
        <v>0.45707975615822416</v>
      </c>
      <c r="R76" s="3">
        <f>-LN(1-N76)</f>
        <v>2.666428526411389</v>
      </c>
      <c r="S76" s="3">
        <f>LOG10(R76)</f>
        <v>0.42592994691589403</v>
      </c>
      <c r="T76" s="3"/>
      <c r="U76" t="s">
        <v>574</v>
      </c>
      <c r="V76" s="3">
        <v>0.626</v>
      </c>
      <c r="W76" s="3">
        <f t="shared" si="44"/>
        <v>-0.2034256667895703</v>
      </c>
      <c r="X76" s="3">
        <f>AVERAGE(V75:V76)</f>
        <v>0.6015</v>
      </c>
      <c r="Y76" s="3">
        <f>LOG10(X76)</f>
        <v>-0.22076436832413643</v>
      </c>
      <c r="Z76" s="3">
        <f t="shared" si="45"/>
        <v>0.983499481567605</v>
      </c>
      <c r="AA76" s="3">
        <f t="shared" si="46"/>
        <v>-0.0072258646743727055</v>
      </c>
      <c r="AB76" s="3">
        <f>-LN(1-X76)</f>
        <v>0.9200477807518674</v>
      </c>
      <c r="AC76" s="3">
        <f>LOG10(AB76)</f>
        <v>-0.036189617895705364</v>
      </c>
      <c r="AE76" t="s">
        <v>574</v>
      </c>
      <c r="AF76" s="3">
        <v>0.282</v>
      </c>
      <c r="AG76" s="3">
        <f t="shared" si="47"/>
        <v>-0.549750891680639</v>
      </c>
      <c r="AH76" s="3">
        <f>AVERAGE(AF75:AF76)</f>
        <v>0.2565</v>
      </c>
      <c r="AI76" s="3">
        <f>LOG10(AH76)</f>
        <v>-0.5909126305521649</v>
      </c>
      <c r="AJ76" s="3">
        <f t="shared" si="48"/>
        <v>0.3312857099339129</v>
      </c>
      <c r="AK76" s="3">
        <f t="shared" si="49"/>
        <v>-0.4797972970812041</v>
      </c>
      <c r="AL76" s="3">
        <f>-LN(1-AH76)</f>
        <v>0.2963865130819272</v>
      </c>
      <c r="AM76" s="3">
        <f>LOG10(AL76)</f>
        <v>-0.5281415625933892</v>
      </c>
      <c r="AO76" t="s">
        <v>574</v>
      </c>
      <c r="AP76" s="3">
        <v>0.035</v>
      </c>
      <c r="AQ76" s="3">
        <f t="shared" si="50"/>
        <v>-1.4559319556497243</v>
      </c>
      <c r="AR76" s="3">
        <f>AVERAGE(AP75:AP76)</f>
        <v>0.0535</v>
      </c>
      <c r="AS76" s="3">
        <f>LOG10(AR76)</f>
        <v>-1.2716462179787715</v>
      </c>
      <c r="AT76" s="3">
        <f t="shared" si="51"/>
        <v>0.03562717764315116</v>
      </c>
      <c r="AU76" s="3">
        <f t="shared" si="52"/>
        <v>-1.4482185807518462</v>
      </c>
      <c r="AV76" s="3">
        <f>-LN(1-AR76)</f>
        <v>0.05498430833275951</v>
      </c>
      <c r="AW76" s="3">
        <f>LOG10(AV76)</f>
        <v>-1.2597612337206938</v>
      </c>
      <c r="AZ76" s="3">
        <v>0.9790000000000001</v>
      </c>
    </row>
    <row r="77" spans="1:52" ht="12.75">
      <c r="A77" t="s">
        <v>575</v>
      </c>
      <c r="B77">
        <v>67</v>
      </c>
      <c r="C77">
        <v>200</v>
      </c>
      <c r="D77">
        <v>72</v>
      </c>
      <c r="F77" t="s">
        <v>575</v>
      </c>
      <c r="G77" t="s">
        <v>265</v>
      </c>
      <c r="H77">
        <v>3.63</v>
      </c>
      <c r="I77">
        <v>20.4</v>
      </c>
      <c r="J77">
        <v>14</v>
      </c>
      <c r="K77" s="3">
        <f t="shared" si="40"/>
        <v>1.457142857142857</v>
      </c>
      <c r="L77" s="3">
        <v>0.897</v>
      </c>
      <c r="M77" s="3">
        <f t="shared" si="41"/>
        <v>-0.047207556955907906</v>
      </c>
      <c r="N77" s="3"/>
      <c r="O77" s="3"/>
      <c r="P77" s="3">
        <f t="shared" si="42"/>
        <v>2.2730262907525014</v>
      </c>
      <c r="Q77" s="3">
        <f t="shared" si="43"/>
        <v>0.35660445898176973</v>
      </c>
      <c r="R77" s="3"/>
      <c r="S77" s="3"/>
      <c r="T77" s="3"/>
      <c r="U77" t="s">
        <v>575</v>
      </c>
      <c r="V77" s="3">
        <v>0.387</v>
      </c>
      <c r="W77" s="3">
        <f t="shared" si="44"/>
        <v>-0.41228903498108854</v>
      </c>
      <c r="X77" s="3"/>
      <c r="Y77" s="3"/>
      <c r="Z77" s="3">
        <f t="shared" si="45"/>
        <v>0.48939034304592566</v>
      </c>
      <c r="AA77" s="3">
        <f t="shared" si="46"/>
        <v>-0.31034460466801617</v>
      </c>
      <c r="AB77" s="3"/>
      <c r="AC77" s="3"/>
      <c r="AE77" t="s">
        <v>575</v>
      </c>
      <c r="AF77" s="3">
        <v>0.294</v>
      </c>
      <c r="AG77" s="3">
        <f t="shared" si="47"/>
        <v>-0.5316526695878427</v>
      </c>
      <c r="AH77" s="3"/>
      <c r="AI77" s="3"/>
      <c r="AJ77" s="3">
        <f t="shared" si="48"/>
        <v>0.348140041488895</v>
      </c>
      <c r="AK77" s="3">
        <f t="shared" si="49"/>
        <v>-0.4582460232609914</v>
      </c>
      <c r="AL77" s="3"/>
      <c r="AM77" s="3"/>
      <c r="AO77" t="s">
        <v>575</v>
      </c>
      <c r="AP77" s="3">
        <v>0.196</v>
      </c>
      <c r="AQ77" s="3">
        <f t="shared" si="50"/>
        <v>-0.7077439286435239</v>
      </c>
      <c r="AR77" s="3"/>
      <c r="AS77" s="3"/>
      <c r="AT77" s="3">
        <f t="shared" si="51"/>
        <v>0.21815600980317063</v>
      </c>
      <c r="AU77" s="3">
        <f t="shared" si="52"/>
        <v>-0.6612328184855348</v>
      </c>
      <c r="AV77" s="3"/>
      <c r="AW77" s="3"/>
      <c r="AZ77" s="3">
        <v>0.9790000000000001</v>
      </c>
    </row>
    <row r="78" spans="1:52" ht="12.75">
      <c r="A78" t="s">
        <v>575</v>
      </c>
      <c r="B78">
        <v>67</v>
      </c>
      <c r="C78">
        <v>200</v>
      </c>
      <c r="D78">
        <v>72</v>
      </c>
      <c r="F78" t="s">
        <v>575</v>
      </c>
      <c r="G78" t="s">
        <v>266</v>
      </c>
      <c r="H78">
        <v>4.95</v>
      </c>
      <c r="I78">
        <v>25.1</v>
      </c>
      <c r="J78">
        <v>14</v>
      </c>
      <c r="K78" s="3">
        <f t="shared" si="40"/>
        <v>1.792857142857143</v>
      </c>
      <c r="L78" s="2">
        <v>0.995</v>
      </c>
      <c r="M78" s="3">
        <f t="shared" si="41"/>
        <v>-0.0021769192542745465</v>
      </c>
      <c r="N78" s="3">
        <f>AVERAGE(L77:L78)</f>
        <v>0.946</v>
      </c>
      <c r="O78" s="3">
        <f>LOG10(N78)</f>
        <v>-0.024108863598207256</v>
      </c>
      <c r="P78" s="3">
        <f t="shared" si="42"/>
        <v>5.298317366548035</v>
      </c>
      <c r="Q78" s="3">
        <f t="shared" si="43"/>
        <v>0.7241379687616047</v>
      </c>
      <c r="R78" s="3">
        <f>-LN(1-N78)</f>
        <v>2.918771232417862</v>
      </c>
      <c r="S78" s="3">
        <f>LOG10(R78)</f>
        <v>0.465200057169588</v>
      </c>
      <c r="T78" s="3"/>
      <c r="U78" t="s">
        <v>575</v>
      </c>
      <c r="V78" s="3">
        <v>0.507</v>
      </c>
      <c r="W78" s="3">
        <f t="shared" si="44"/>
        <v>-0.294992040666664</v>
      </c>
      <c r="X78" s="3">
        <f>AVERAGE(V77:V78)</f>
        <v>0.447</v>
      </c>
      <c r="Y78" s="3">
        <f>LOG10(X78)</f>
        <v>-0.3496924768680635</v>
      </c>
      <c r="Z78" s="3">
        <f t="shared" si="45"/>
        <v>0.707246104939447</v>
      </c>
      <c r="AA78" s="3">
        <f t="shared" si="46"/>
        <v>-0.150429435681453</v>
      </c>
      <c r="AB78" s="3">
        <f>-LN(1-X78)</f>
        <v>0.5923972774598024</v>
      </c>
      <c r="AC78" s="3">
        <f>LOG10(AB78)</f>
        <v>-0.22738694607740165</v>
      </c>
      <c r="AE78" t="s">
        <v>575</v>
      </c>
      <c r="AF78" s="3">
        <v>0.429</v>
      </c>
      <c r="AG78" s="3">
        <f t="shared" si="47"/>
        <v>-0.36754270781527576</v>
      </c>
      <c r="AH78" s="3">
        <f>AVERAGE(AF77:AF78)</f>
        <v>0.3615</v>
      </c>
      <c r="AI78" s="3">
        <f>LOG10(AH78)</f>
        <v>-0.44189169836945036</v>
      </c>
      <c r="AJ78" s="3">
        <f t="shared" si="48"/>
        <v>0.5603660693261269</v>
      </c>
      <c r="AK78" s="3">
        <f t="shared" si="49"/>
        <v>-0.25152816951502377</v>
      </c>
      <c r="AL78" s="3">
        <f>-LN(1-AH78)</f>
        <v>0.44863360350954296</v>
      </c>
      <c r="AM78" s="3">
        <f>LOG10(AL78)</f>
        <v>-0.3481082000526474</v>
      </c>
      <c r="AO78" t="s">
        <v>575</v>
      </c>
      <c r="AP78" s="3">
        <v>0.059</v>
      </c>
      <c r="AQ78" s="3">
        <f t="shared" si="50"/>
        <v>-1.2291479883578558</v>
      </c>
      <c r="AR78" s="3">
        <f>AVERAGE(AP77:AP78)</f>
        <v>0.1275</v>
      </c>
      <c r="AS78" s="3">
        <f>LOG10(AR78)</f>
        <v>-0.8944898152300259</v>
      </c>
      <c r="AT78" s="3">
        <f t="shared" si="51"/>
        <v>0.06081213939675736</v>
      </c>
      <c r="AU78" s="3">
        <f t="shared" si="52"/>
        <v>-1.216009717655203</v>
      </c>
      <c r="AV78" s="3">
        <f>-LN(1-AR78)</f>
        <v>0.13639262490555476</v>
      </c>
      <c r="AW78" s="3">
        <f>LOG10(AV78)</f>
        <v>-0.865209112446517</v>
      </c>
      <c r="AZ78" s="3">
        <v>0.9790000000000001</v>
      </c>
    </row>
    <row r="79" spans="1:52" ht="12.75">
      <c r="A79" t="s">
        <v>576</v>
      </c>
      <c r="B79">
        <v>30</v>
      </c>
      <c r="C79">
        <v>248</v>
      </c>
      <c r="D79">
        <v>70</v>
      </c>
      <c r="F79" t="s">
        <v>576</v>
      </c>
      <c r="G79" t="s">
        <v>267</v>
      </c>
      <c r="H79">
        <v>3.66</v>
      </c>
      <c r="I79">
        <v>15.6</v>
      </c>
      <c r="J79">
        <v>14</v>
      </c>
      <c r="K79" s="3">
        <f t="shared" si="40"/>
        <v>1.1142857142857143</v>
      </c>
      <c r="L79" s="3">
        <v>0.94</v>
      </c>
      <c r="M79" s="3">
        <f t="shared" si="41"/>
        <v>-0.02687214640030136</v>
      </c>
      <c r="N79" s="3"/>
      <c r="O79" s="3"/>
      <c r="P79" s="3">
        <f t="shared" si="42"/>
        <v>2.8134107167600355</v>
      </c>
      <c r="Q79" s="3">
        <f t="shared" si="43"/>
        <v>0.44923313742720716</v>
      </c>
      <c r="R79" s="3"/>
      <c r="S79" s="3"/>
      <c r="T79" s="3"/>
      <c r="U79" t="s">
        <v>576</v>
      </c>
      <c r="V79" s="3">
        <v>0.449</v>
      </c>
      <c r="W79" s="3">
        <f t="shared" si="44"/>
        <v>-0.3477536589966768</v>
      </c>
      <c r="X79" s="3"/>
      <c r="Y79" s="3"/>
      <c r="Z79" s="3">
        <f t="shared" si="45"/>
        <v>0.5960204698292226</v>
      </c>
      <c r="AA79" s="3">
        <f t="shared" si="46"/>
        <v>-0.22473882451946753</v>
      </c>
      <c r="AB79" s="3"/>
      <c r="AC79" s="3"/>
      <c r="AE79" t="s">
        <v>576</v>
      </c>
      <c r="AF79" s="3">
        <v>0.393</v>
      </c>
      <c r="AG79" s="3">
        <f t="shared" si="47"/>
        <v>-0.4056074496245733</v>
      </c>
      <c r="AH79" s="3"/>
      <c r="AI79" s="3"/>
      <c r="AJ79" s="3">
        <f t="shared" si="48"/>
        <v>0.4992264879226388</v>
      </c>
      <c r="AK79" s="3">
        <f t="shared" si="49"/>
        <v>-0.30170237994931787</v>
      </c>
      <c r="AL79" s="3"/>
      <c r="AM79" s="3"/>
      <c r="AO79" t="s">
        <v>576</v>
      </c>
      <c r="AP79" s="3">
        <v>0.098</v>
      </c>
      <c r="AQ79" s="3">
        <f t="shared" si="50"/>
        <v>-1.0087739243075051</v>
      </c>
      <c r="AR79" s="3"/>
      <c r="AS79" s="3"/>
      <c r="AT79" s="3">
        <f t="shared" si="51"/>
        <v>0.10314075891951335</v>
      </c>
      <c r="AU79" s="3">
        <f t="shared" si="52"/>
        <v>-0.9865696773374457</v>
      </c>
      <c r="AV79" s="3"/>
      <c r="AW79" s="3"/>
      <c r="AZ79" s="3">
        <v>0.98</v>
      </c>
    </row>
    <row r="80" spans="1:52" ht="12.75">
      <c r="A80" t="s">
        <v>576</v>
      </c>
      <c r="B80">
        <v>30</v>
      </c>
      <c r="C80">
        <v>248</v>
      </c>
      <c r="D80">
        <v>70</v>
      </c>
      <c r="F80" t="s">
        <v>576</v>
      </c>
      <c r="G80" t="s">
        <v>268</v>
      </c>
      <c r="H80">
        <v>4.99</v>
      </c>
      <c r="I80">
        <v>19.6</v>
      </c>
      <c r="J80">
        <v>14</v>
      </c>
      <c r="K80" s="3">
        <f t="shared" si="40"/>
        <v>1.4000000000000001</v>
      </c>
      <c r="L80" s="3">
        <v>0.973</v>
      </c>
      <c r="M80" s="3">
        <f t="shared" si="41"/>
        <v>-0.0118871597316481</v>
      </c>
      <c r="N80" s="3"/>
      <c r="O80" s="3"/>
      <c r="P80" s="3">
        <f t="shared" si="42"/>
        <v>3.6119184129778072</v>
      </c>
      <c r="Q80" s="3">
        <f t="shared" si="43"/>
        <v>0.5577379317871732</v>
      </c>
      <c r="R80" s="3"/>
      <c r="S80" s="3"/>
      <c r="T80" s="3"/>
      <c r="U80" t="s">
        <v>576</v>
      </c>
      <c r="V80" s="3">
        <v>0.744</v>
      </c>
      <c r="W80" s="3">
        <f t="shared" si="44"/>
        <v>-0.1284270644541213</v>
      </c>
      <c r="X80" s="3"/>
      <c r="Y80" s="3"/>
      <c r="Z80" s="3">
        <f t="shared" si="45"/>
        <v>1.3625778345025745</v>
      </c>
      <c r="AA80" s="3">
        <f t="shared" si="46"/>
        <v>0.13436131985105412</v>
      </c>
      <c r="AB80" s="3"/>
      <c r="AC80" s="3"/>
      <c r="AE80" t="s">
        <v>576</v>
      </c>
      <c r="AF80" s="3">
        <v>0.2</v>
      </c>
      <c r="AG80" s="3">
        <f t="shared" si="47"/>
        <v>-0.6989700043360187</v>
      </c>
      <c r="AH80" s="3"/>
      <c r="AI80" s="3"/>
      <c r="AJ80" s="3">
        <f t="shared" si="48"/>
        <v>0.22314355131420968</v>
      </c>
      <c r="AK80" s="3">
        <f t="shared" si="49"/>
        <v>-0.6514156594356943</v>
      </c>
      <c r="AL80" s="3"/>
      <c r="AM80" s="3"/>
      <c r="AO80" t="s">
        <v>576</v>
      </c>
      <c r="AP80" s="3">
        <v>0.029</v>
      </c>
      <c r="AQ80" s="3">
        <f t="shared" si="50"/>
        <v>-1.537602002101044</v>
      </c>
      <c r="AR80" s="3"/>
      <c r="AS80" s="3"/>
      <c r="AT80" s="3">
        <f t="shared" si="51"/>
        <v>0.029428810690812164</v>
      </c>
      <c r="AU80" s="3">
        <f t="shared" si="52"/>
        <v>-1.5312272887279221</v>
      </c>
      <c r="AV80" s="3"/>
      <c r="AW80" s="3"/>
      <c r="AZ80" s="3">
        <v>0.982</v>
      </c>
    </row>
    <row r="81" spans="1:52" ht="12.75">
      <c r="A81" t="s">
        <v>576</v>
      </c>
      <c r="B81">
        <v>30</v>
      </c>
      <c r="C81">
        <v>248</v>
      </c>
      <c r="D81">
        <v>70</v>
      </c>
      <c r="F81" t="s">
        <v>576</v>
      </c>
      <c r="G81" t="s">
        <v>269</v>
      </c>
      <c r="H81">
        <v>2.34</v>
      </c>
      <c r="I81">
        <v>16.8</v>
      </c>
      <c r="J81">
        <v>14</v>
      </c>
      <c r="K81" s="3">
        <f t="shared" si="40"/>
        <v>1.2</v>
      </c>
      <c r="L81" s="3">
        <v>0.742</v>
      </c>
      <c r="M81" s="3">
        <f t="shared" si="41"/>
        <v>-0.12959609472097292</v>
      </c>
      <c r="N81" s="3"/>
      <c r="O81" s="3"/>
      <c r="P81" s="3">
        <f t="shared" si="42"/>
        <v>1.3547956940605197</v>
      </c>
      <c r="Q81" s="3">
        <f t="shared" si="43"/>
        <v>0.1318738076590944</v>
      </c>
      <c r="R81" s="3"/>
      <c r="S81" s="3"/>
      <c r="T81" s="3"/>
      <c r="U81" t="s">
        <v>576</v>
      </c>
      <c r="V81" s="3">
        <v>0.013000000000000001</v>
      </c>
      <c r="W81" s="3">
        <f t="shared" si="44"/>
        <v>-1.8860566476931633</v>
      </c>
      <c r="X81" s="3"/>
      <c r="Y81" s="3"/>
      <c r="Z81" s="3">
        <f t="shared" si="45"/>
        <v>0.013085239548655479</v>
      </c>
      <c r="AA81" s="3">
        <f t="shared" si="46"/>
        <v>-1.8832183224160033</v>
      </c>
      <c r="AB81" s="3"/>
      <c r="AC81" s="3"/>
      <c r="AE81" t="s">
        <v>576</v>
      </c>
      <c r="AF81" s="3">
        <v>0.168</v>
      </c>
      <c r="AG81" s="3">
        <f t="shared" si="47"/>
        <v>-0.774690718274137</v>
      </c>
      <c r="AH81" s="3"/>
      <c r="AI81" s="3"/>
      <c r="AJ81" s="3">
        <f t="shared" si="48"/>
        <v>0.18392283816092855</v>
      </c>
      <c r="AK81" s="3">
        <f t="shared" si="49"/>
        <v>-0.735364339976491</v>
      </c>
      <c r="AL81" s="3"/>
      <c r="AM81" s="3"/>
      <c r="AO81" t="s">
        <v>576</v>
      </c>
      <c r="AP81" s="3">
        <v>0.561</v>
      </c>
      <c r="AQ81" s="3">
        <f t="shared" si="50"/>
        <v>-0.25103713874383854</v>
      </c>
      <c r="AR81" s="3"/>
      <c r="AS81" s="3"/>
      <c r="AT81" s="3">
        <f t="shared" si="51"/>
        <v>0.8232558659069658</v>
      </c>
      <c r="AU81" s="3">
        <f t="shared" si="52"/>
        <v>-0.08446516614663384</v>
      </c>
      <c r="AV81" s="3"/>
      <c r="AW81" s="3"/>
      <c r="AZ81" s="3">
        <v>0.987</v>
      </c>
    </row>
    <row r="82" spans="1:52" ht="12.75">
      <c r="A82" t="s">
        <v>576</v>
      </c>
      <c r="B82">
        <v>30</v>
      </c>
      <c r="C82">
        <v>248</v>
      </c>
      <c r="D82">
        <v>70</v>
      </c>
      <c r="F82" t="s">
        <v>576</v>
      </c>
      <c r="G82" t="s">
        <v>270</v>
      </c>
      <c r="H82">
        <v>3.22</v>
      </c>
      <c r="I82">
        <v>15.9</v>
      </c>
      <c r="J82">
        <v>14</v>
      </c>
      <c r="K82" s="3">
        <f t="shared" si="40"/>
        <v>1.1357142857142857</v>
      </c>
      <c r="L82" s="3">
        <v>0.7909999999999999</v>
      </c>
      <c r="M82" s="3">
        <f t="shared" si="41"/>
        <v>-0.10182351650232348</v>
      </c>
      <c r="N82" s="3"/>
      <c r="O82" s="3"/>
      <c r="P82" s="3">
        <f t="shared" si="42"/>
        <v>1.5654210270173257</v>
      </c>
      <c r="Q82" s="3">
        <f t="shared" si="43"/>
        <v>0.1946311630447845</v>
      </c>
      <c r="R82" s="3"/>
      <c r="S82" s="3"/>
      <c r="T82" s="3"/>
      <c r="U82" t="s">
        <v>576</v>
      </c>
      <c r="V82" s="3">
        <v>0.32739999999999997</v>
      </c>
      <c r="W82" s="3">
        <f t="shared" si="44"/>
        <v>-0.4849213249240774</v>
      </c>
      <c r="X82" s="3"/>
      <c r="Y82" s="3"/>
      <c r="Z82" s="3">
        <f t="shared" si="45"/>
        <v>0.3966044796759677</v>
      </c>
      <c r="AA82" s="3">
        <f t="shared" si="46"/>
        <v>-0.4016423847157737</v>
      </c>
      <c r="AB82" s="3"/>
      <c r="AC82" s="3"/>
      <c r="AE82" t="s">
        <v>576</v>
      </c>
      <c r="AF82" s="3">
        <v>0.283</v>
      </c>
      <c r="AG82" s="3">
        <f t="shared" si="47"/>
        <v>-0.5482135644757098</v>
      </c>
      <c r="AH82" s="3"/>
      <c r="AI82" s="3"/>
      <c r="AJ82" s="3">
        <f t="shared" si="48"/>
        <v>0.33267943838251657</v>
      </c>
      <c r="AK82" s="3">
        <f t="shared" si="49"/>
        <v>-0.47797404034838314</v>
      </c>
      <c r="AL82" s="3"/>
      <c r="AM82" s="3"/>
      <c r="AO82" t="s">
        <v>576</v>
      </c>
      <c r="AP82" s="3">
        <v>0.181</v>
      </c>
      <c r="AQ82" s="3">
        <f t="shared" si="50"/>
        <v>-0.7423214251308154</v>
      </c>
      <c r="AR82" s="3"/>
      <c r="AS82" s="3"/>
      <c r="AT82" s="3">
        <f t="shared" si="51"/>
        <v>0.19967119512906767</v>
      </c>
      <c r="AU82" s="3">
        <f t="shared" si="52"/>
        <v>-0.6996845825944733</v>
      </c>
      <c r="AV82" s="3"/>
      <c r="AW82" s="3"/>
      <c r="AZ82" s="3">
        <v>0.99</v>
      </c>
    </row>
    <row r="83" spans="1:52" ht="12.75">
      <c r="A83" t="s">
        <v>576</v>
      </c>
      <c r="B83">
        <v>30</v>
      </c>
      <c r="C83">
        <v>248</v>
      </c>
      <c r="D83">
        <v>70</v>
      </c>
      <c r="F83" t="s">
        <v>576</v>
      </c>
      <c r="G83" t="s">
        <v>271</v>
      </c>
      <c r="H83">
        <v>7.08</v>
      </c>
      <c r="I83">
        <v>16.2</v>
      </c>
      <c r="J83">
        <v>14</v>
      </c>
      <c r="K83" s="3">
        <f t="shared" si="40"/>
        <v>1.157142857142857</v>
      </c>
      <c r="L83" s="3">
        <v>0.927</v>
      </c>
      <c r="M83" s="3">
        <f t="shared" si="41"/>
        <v>-0.0329202658555029</v>
      </c>
      <c r="N83" s="3">
        <f>AVERAGE(L79:L83)</f>
        <v>0.8745999999999998</v>
      </c>
      <c r="O83" s="3">
        <f>LOG10(N83)</f>
        <v>-0.058190526991161895</v>
      </c>
      <c r="P83" s="3">
        <f t="shared" si="42"/>
        <v>2.6172958378337468</v>
      </c>
      <c r="Q83" s="3">
        <f t="shared" si="43"/>
        <v>0.4178528145303097</v>
      </c>
      <c r="R83" s="3">
        <f>-LN(1-N83)</f>
        <v>2.0762466507833155</v>
      </c>
      <c r="S83" s="3">
        <f>LOG10(R83)</f>
        <v>0.3172789448947318</v>
      </c>
      <c r="T83" s="3"/>
      <c r="U83" t="s">
        <v>576</v>
      </c>
      <c r="V83" s="3">
        <v>0.752</v>
      </c>
      <c r="W83" s="3">
        <f t="shared" si="44"/>
        <v>-0.12378215940835775</v>
      </c>
      <c r="X83" s="3">
        <f>AVERAGE(V79:V83)</f>
        <v>0.45708000000000004</v>
      </c>
      <c r="Y83" s="3">
        <f>LOG10(X83)</f>
        <v>-0.3400077812914289</v>
      </c>
      <c r="Z83" s="3">
        <f t="shared" si="45"/>
        <v>1.3943265328171548</v>
      </c>
      <c r="AA83" s="3">
        <f t="shared" si="46"/>
        <v>0.1443644916918169</v>
      </c>
      <c r="AB83" s="3">
        <f>-LN(1-X83)</f>
        <v>0.6107932995523728</v>
      </c>
      <c r="AC83" s="3">
        <f>LOG10(AB83)</f>
        <v>-0.21410573583204076</v>
      </c>
      <c r="AE83" t="s">
        <v>576</v>
      </c>
      <c r="AF83" s="3">
        <v>0.166</v>
      </c>
      <c r="AG83" s="3">
        <f t="shared" si="47"/>
        <v>-0.7798919119599449</v>
      </c>
      <c r="AH83" s="3">
        <f>AVERAGE(AF79:AF83)</f>
        <v>0.242</v>
      </c>
      <c r="AI83" s="3">
        <f>LOG10(AH83)</f>
        <v>-0.6161846340195688</v>
      </c>
      <c r="AJ83" s="3">
        <f t="shared" si="48"/>
        <v>0.18152187662339034</v>
      </c>
      <c r="AK83" s="3">
        <f t="shared" si="49"/>
        <v>-0.7410710272433819</v>
      </c>
      <c r="AL83" s="3">
        <f>-LN(1-AH83)</f>
        <v>0.2770718933397654</v>
      </c>
      <c r="AM83" s="3">
        <f>LOG10(AL83)</f>
        <v>-0.5574075275795565</v>
      </c>
      <c r="AO83" t="s">
        <v>576</v>
      </c>
      <c r="AP83" s="3">
        <v>0.009</v>
      </c>
      <c r="AQ83" s="3">
        <f t="shared" si="50"/>
        <v>-2.0457574905606752</v>
      </c>
      <c r="AR83" s="3">
        <f>AVERAGE(AP79:AP83)</f>
        <v>0.1756</v>
      </c>
      <c r="AS83" s="3">
        <f>LOG10(AR83)</f>
        <v>-0.7554754884299162</v>
      </c>
      <c r="AT83" s="3">
        <f t="shared" si="51"/>
        <v>0.009040744652149069</v>
      </c>
      <c r="AU83" s="3">
        <f t="shared" si="52"/>
        <v>-2.0437957968476055</v>
      </c>
      <c r="AV83" s="3">
        <f>-LN(1-AR83)</f>
        <v>0.1930994299658331</v>
      </c>
      <c r="AW83" s="3">
        <f>LOG10(AV83)</f>
        <v>-0.714219008266481</v>
      </c>
      <c r="AZ83" s="3">
        <v>0.991</v>
      </c>
    </row>
    <row r="84" spans="1:52" ht="12.75">
      <c r="A84" t="s">
        <v>355</v>
      </c>
      <c r="B84">
        <v>42</v>
      </c>
      <c r="C84">
        <v>195</v>
      </c>
      <c r="D84">
        <v>74</v>
      </c>
      <c r="F84" t="s">
        <v>355</v>
      </c>
      <c r="G84" t="s">
        <v>356</v>
      </c>
      <c r="H84">
        <v>3.52</v>
      </c>
      <c r="I84">
        <v>21.7</v>
      </c>
      <c r="J84">
        <v>14</v>
      </c>
      <c r="K84" s="3">
        <f t="shared" si="40"/>
        <v>1.55</v>
      </c>
      <c r="L84" s="3">
        <v>0.9279999999999999</v>
      </c>
      <c r="M84" s="3">
        <f t="shared" si="41"/>
        <v>-0.03245202378113796</v>
      </c>
      <c r="N84" s="3"/>
      <c r="O84" s="3"/>
      <c r="P84" s="3">
        <f t="shared" si="42"/>
        <v>2.631089159966081</v>
      </c>
      <c r="Q84" s="3">
        <f t="shared" si="43"/>
        <v>0.4201355653130635</v>
      </c>
      <c r="R84" s="3"/>
      <c r="S84" s="3"/>
      <c r="T84" s="3"/>
      <c r="U84" t="s">
        <v>355</v>
      </c>
      <c r="V84" s="3">
        <v>0.544</v>
      </c>
      <c r="W84" s="3">
        <f t="shared" si="44"/>
        <v>-0.26440110030182007</v>
      </c>
      <c r="X84" s="3"/>
      <c r="Y84" s="3"/>
      <c r="Z84" s="3">
        <f t="shared" si="45"/>
        <v>0.785262469467751</v>
      </c>
      <c r="AA84" s="3">
        <f t="shared" si="46"/>
        <v>-0.10498515855500413</v>
      </c>
      <c r="AB84" s="3"/>
      <c r="AC84" s="3"/>
      <c r="AE84" t="s">
        <v>355</v>
      </c>
      <c r="AF84" s="3">
        <v>0.288</v>
      </c>
      <c r="AG84" s="3">
        <f t="shared" si="47"/>
        <v>-0.5406075122407692</v>
      </c>
      <c r="AH84" s="3"/>
      <c r="AI84" s="3"/>
      <c r="AJ84" s="3">
        <f t="shared" si="48"/>
        <v>0.3396773675701613</v>
      </c>
      <c r="AK84" s="3">
        <f t="shared" si="49"/>
        <v>-0.46893338885807784</v>
      </c>
      <c r="AL84" s="3"/>
      <c r="AM84" s="3"/>
      <c r="AO84" t="s">
        <v>355</v>
      </c>
      <c r="AP84" s="3">
        <v>0.096</v>
      </c>
      <c r="AQ84" s="3">
        <f t="shared" si="50"/>
        <v>-1.0177287669604316</v>
      </c>
      <c r="AR84" s="3"/>
      <c r="AS84" s="3"/>
      <c r="AT84" s="3">
        <f t="shared" si="51"/>
        <v>0.10092591858996051</v>
      </c>
      <c r="AU84" s="3">
        <f t="shared" si="52"/>
        <v>-0.9959972891137294</v>
      </c>
      <c r="AV84" s="3"/>
      <c r="AW84" s="3"/>
      <c r="AZ84" s="3">
        <v>0.9925</v>
      </c>
    </row>
    <row r="85" spans="1:52" ht="12.75">
      <c r="A85" t="s">
        <v>355</v>
      </c>
      <c r="B85">
        <v>42</v>
      </c>
      <c r="C85">
        <v>195</v>
      </c>
      <c r="D85">
        <v>74</v>
      </c>
      <c r="F85" t="s">
        <v>355</v>
      </c>
      <c r="G85" t="s">
        <v>357</v>
      </c>
      <c r="H85">
        <v>4.85</v>
      </c>
      <c r="I85">
        <v>20.3</v>
      </c>
      <c r="J85">
        <v>14</v>
      </c>
      <c r="K85" s="3">
        <f t="shared" si="40"/>
        <v>1.45</v>
      </c>
      <c r="L85" s="3">
        <v>0.9640000000000001</v>
      </c>
      <c r="M85" s="3">
        <f t="shared" si="41"/>
        <v>-0.01592296609716919</v>
      </c>
      <c r="N85" s="3">
        <f>AVERAGE(L84:L85)</f>
        <v>0.946</v>
      </c>
      <c r="O85" s="3">
        <f>LOG10(N85)</f>
        <v>-0.024108863598207256</v>
      </c>
      <c r="P85" s="3">
        <f t="shared" si="42"/>
        <v>3.324236340526029</v>
      </c>
      <c r="Q85" s="3">
        <f t="shared" si="43"/>
        <v>0.5216918928911084</v>
      </c>
      <c r="R85" s="3">
        <f>-LN(1-N85)</f>
        <v>2.918771232417862</v>
      </c>
      <c r="S85" s="3">
        <f>LOG10(R85)</f>
        <v>0.465200057169588</v>
      </c>
      <c r="T85" s="3"/>
      <c r="U85" t="s">
        <v>355</v>
      </c>
      <c r="V85" s="3">
        <v>0.736</v>
      </c>
      <c r="W85" s="3">
        <f t="shared" si="44"/>
        <v>-0.13312218566250114</v>
      </c>
      <c r="X85" s="3">
        <f>AVERAGE(V84:V85)</f>
        <v>0.64</v>
      </c>
      <c r="Y85" s="3">
        <f>LOG10(X85)</f>
        <v>-0.19382002601611284</v>
      </c>
      <c r="Z85" s="3">
        <f t="shared" si="45"/>
        <v>1.3318061758358208</v>
      </c>
      <c r="AA85" s="3">
        <f t="shared" si="46"/>
        <v>0.12444102446642166</v>
      </c>
      <c r="AB85" s="3">
        <f>-LN(1-X85)</f>
        <v>1.0216512475319814</v>
      </c>
      <c r="AC85" s="3">
        <f>LOG10(AB85)</f>
        <v>0.00930266965290335</v>
      </c>
      <c r="AE85" t="s">
        <v>355</v>
      </c>
      <c r="AF85" s="3">
        <v>0.205</v>
      </c>
      <c r="AG85" s="3">
        <f t="shared" si="47"/>
        <v>-0.6882461389442458</v>
      </c>
      <c r="AH85" s="3">
        <f>AVERAGE(AF84:AF85)</f>
        <v>0.2465</v>
      </c>
      <c r="AI85" s="3">
        <f>LOG10(AH85)</f>
        <v>-0.6081830763867512</v>
      </c>
      <c r="AJ85" s="3">
        <f t="shared" si="48"/>
        <v>0.22941316432780512</v>
      </c>
      <c r="AK85" s="3">
        <f t="shared" si="49"/>
        <v>-0.6393816647656718</v>
      </c>
      <c r="AL85" s="3">
        <f>-LN(1-AH85)</f>
        <v>0.28302626091558686</v>
      </c>
      <c r="AM85" s="3">
        <f>LOG10(AL85)</f>
        <v>-0.5481732660954938</v>
      </c>
      <c r="AO85" t="s">
        <v>355</v>
      </c>
      <c r="AP85" s="3">
        <v>0.023</v>
      </c>
      <c r="AQ85" s="3">
        <f t="shared" si="50"/>
        <v>-1.638272163982407</v>
      </c>
      <c r="AR85" s="3">
        <f>AVERAGE(AP84:AP85)</f>
        <v>0.0595</v>
      </c>
      <c r="AS85" s="3">
        <f>LOG10(AR85)</f>
        <v>-1.2254830342714504</v>
      </c>
      <c r="AT85" s="3">
        <f t="shared" si="51"/>
        <v>0.023268626939354334</v>
      </c>
      <c r="AU85" s="3">
        <f t="shared" si="52"/>
        <v>-1.6332292432820419</v>
      </c>
      <c r="AV85" s="3">
        <f>-LN(1-AR85)</f>
        <v>0.061343630241051966</v>
      </c>
      <c r="AW85" s="3">
        <f>LOG10(AV85)</f>
        <v>-1.2122305265764632</v>
      </c>
      <c r="AZ85" s="3">
        <v>0.993</v>
      </c>
    </row>
    <row r="86" spans="1:52" ht="12.75">
      <c r="A86" t="s">
        <v>549</v>
      </c>
      <c r="B86">
        <v>29</v>
      </c>
      <c r="C86">
        <v>184</v>
      </c>
      <c r="D86">
        <v>73</v>
      </c>
      <c r="F86" t="s">
        <v>549</v>
      </c>
      <c r="G86" t="s">
        <v>272</v>
      </c>
      <c r="H86">
        <v>4.04</v>
      </c>
      <c r="I86">
        <v>18.8</v>
      </c>
      <c r="J86">
        <v>14</v>
      </c>
      <c r="K86" s="3">
        <f t="shared" si="40"/>
        <v>1.342857142857143</v>
      </c>
      <c r="L86" s="3">
        <v>0.966</v>
      </c>
      <c r="M86" s="3">
        <f t="shared" si="41"/>
        <v>-0.01502287358450667</v>
      </c>
      <c r="N86" s="3"/>
      <c r="O86" s="3"/>
      <c r="P86" s="3">
        <f t="shared" si="42"/>
        <v>3.381394754365975</v>
      </c>
      <c r="Q86" s="3">
        <f t="shared" si="43"/>
        <v>0.529095874591639</v>
      </c>
      <c r="R86" s="3"/>
      <c r="S86" s="3"/>
      <c r="T86" s="3"/>
      <c r="U86" t="s">
        <v>549</v>
      </c>
      <c r="V86" s="3">
        <v>0.63</v>
      </c>
      <c r="W86" s="3">
        <f t="shared" si="44"/>
        <v>-0.2006594505464183</v>
      </c>
      <c r="X86" s="3"/>
      <c r="Y86" s="3"/>
      <c r="Z86" s="3">
        <f t="shared" si="45"/>
        <v>0.994252273343867</v>
      </c>
      <c r="AA86" s="3">
        <f t="shared" si="46"/>
        <v>-0.002503407332609969</v>
      </c>
      <c r="AB86" s="3"/>
      <c r="AC86" s="3"/>
      <c r="AE86" t="s">
        <v>549</v>
      </c>
      <c r="AF86" s="3">
        <v>0.256</v>
      </c>
      <c r="AG86" s="3">
        <f t="shared" si="47"/>
        <v>-0.5917600346881504</v>
      </c>
      <c r="AH86" s="3"/>
      <c r="AI86" s="3"/>
      <c r="AJ86" s="3">
        <f t="shared" si="48"/>
        <v>0.29571424414904524</v>
      </c>
      <c r="AK86" s="3">
        <f t="shared" si="49"/>
        <v>-0.5291277556012477</v>
      </c>
      <c r="AL86" s="3"/>
      <c r="AM86" s="3"/>
      <c r="AO86" t="s">
        <v>549</v>
      </c>
      <c r="AP86" s="3">
        <v>0.081</v>
      </c>
      <c r="AQ86" s="3">
        <f t="shared" si="50"/>
        <v>-1.0915149811213503</v>
      </c>
      <c r="AR86" s="3"/>
      <c r="AS86" s="3"/>
      <c r="AT86" s="3">
        <f t="shared" si="51"/>
        <v>0.08446915662644996</v>
      </c>
      <c r="AU86" s="3">
        <f t="shared" si="52"/>
        <v>-1.0733018419640041</v>
      </c>
      <c r="AV86" s="3"/>
      <c r="AW86" s="3"/>
      <c r="AZ86" s="2">
        <v>0.995</v>
      </c>
    </row>
    <row r="87" spans="1:62" ht="12.75">
      <c r="A87" t="s">
        <v>549</v>
      </c>
      <c r="B87">
        <v>29</v>
      </c>
      <c r="C87">
        <v>184</v>
      </c>
      <c r="D87">
        <v>73</v>
      </c>
      <c r="F87" t="s">
        <v>549</v>
      </c>
      <c r="G87" t="s">
        <v>273</v>
      </c>
      <c r="H87">
        <v>5.4</v>
      </c>
      <c r="I87">
        <v>14.1</v>
      </c>
      <c r="J87">
        <v>14</v>
      </c>
      <c r="K87" s="3">
        <f t="shared" si="40"/>
        <v>1.0071428571428571</v>
      </c>
      <c r="L87" s="3">
        <v>0.971</v>
      </c>
      <c r="M87" s="3">
        <f t="shared" si="41"/>
        <v>-0.012780770091995146</v>
      </c>
      <c r="N87" s="3">
        <f>AVERAGE(L86:L87)</f>
        <v>0.9684999999999999</v>
      </c>
      <c r="O87" s="3">
        <f aca="true" t="shared" si="53" ref="O87:O94">LOG10(N87)</f>
        <v>-0.013900374944870425</v>
      </c>
      <c r="P87" s="3">
        <f t="shared" si="42"/>
        <v>3.5404594489956622</v>
      </c>
      <c r="Q87" s="3">
        <f t="shared" si="43"/>
        <v>0.5490596245161741</v>
      </c>
      <c r="R87" s="3">
        <f aca="true" t="shared" si="54" ref="R87:R94">-LN(1-N87)</f>
        <v>3.457767733150547</v>
      </c>
      <c r="S87" s="3">
        <f aca="true" t="shared" si="55" ref="S87:S94">LOG10(R87)</f>
        <v>0.5387958172783059</v>
      </c>
      <c r="T87" s="3"/>
      <c r="U87" t="s">
        <v>549</v>
      </c>
      <c r="V87" s="3">
        <v>0.793</v>
      </c>
      <c r="W87" s="3">
        <f t="shared" si="44"/>
        <v>-0.10072681268239618</v>
      </c>
      <c r="X87" s="3">
        <f>AVERAGE(V86:V87)</f>
        <v>0.7115</v>
      </c>
      <c r="Y87" s="3">
        <f aca="true" t="shared" si="56" ref="Y87:Y94">LOG10(X87)</f>
        <v>-0.14782509557969686</v>
      </c>
      <c r="Z87" s="3">
        <f t="shared" si="45"/>
        <v>1.5750364857167682</v>
      </c>
      <c r="AA87" s="3">
        <f t="shared" si="46"/>
        <v>0.19729061867287537</v>
      </c>
      <c r="AB87" s="3">
        <f aca="true" t="shared" si="57" ref="AB87:AB94">-LN(1-X87)</f>
        <v>1.2430601930339829</v>
      </c>
      <c r="AC87" s="3">
        <f aca="true" t="shared" si="58" ref="AC87:AC94">LOG10(AB87)</f>
        <v>0.09449215910791112</v>
      </c>
      <c r="AE87" t="s">
        <v>549</v>
      </c>
      <c r="AF87" s="3">
        <v>0.155</v>
      </c>
      <c r="AG87" s="3">
        <f t="shared" si="47"/>
        <v>-0.8096683018297085</v>
      </c>
      <c r="AH87" s="3">
        <f>AVERAGE(AF86:AF87)</f>
        <v>0.20550000000000002</v>
      </c>
      <c r="AI87" s="3">
        <f aca="true" t="shared" si="59" ref="AI87:AI94">LOG10(AH87)</f>
        <v>-0.6871881737879119</v>
      </c>
      <c r="AJ87" s="3">
        <f t="shared" si="48"/>
        <v>0.16841865162496322</v>
      </c>
      <c r="AK87" s="3">
        <f t="shared" si="49"/>
        <v>-0.7736098139691049</v>
      </c>
      <c r="AL87" s="3">
        <f aca="true" t="shared" si="60" ref="AL87:AL94">-LN(1-AH87)</f>
        <v>0.2300422930053664</v>
      </c>
      <c r="AM87" s="3">
        <f aca="true" t="shared" si="61" ref="AM87:AM94">LOG10(AL87)</f>
        <v>-0.6381923121114607</v>
      </c>
      <c r="AO87" t="s">
        <v>549</v>
      </c>
      <c r="AP87" s="3">
        <v>0.023</v>
      </c>
      <c r="AQ87" s="3">
        <f t="shared" si="50"/>
        <v>-1.638272163982407</v>
      </c>
      <c r="AR87" s="3">
        <f>AVERAGE(AP86:AP87)</f>
        <v>0.052000000000000005</v>
      </c>
      <c r="AS87" s="3">
        <f aca="true" t="shared" si="62" ref="AS87:AS94">LOG10(AR87)</f>
        <v>-1.2839966563652008</v>
      </c>
      <c r="AT87" s="3">
        <f t="shared" si="51"/>
        <v>0.023268626939354334</v>
      </c>
      <c r="AU87" s="3">
        <f t="shared" si="52"/>
        <v>-1.6332292432820419</v>
      </c>
      <c r="AV87" s="3">
        <f aca="true" t="shared" si="63" ref="AV87:AV94">-LN(1-AR87)</f>
        <v>0.053400776727115296</v>
      </c>
      <c r="AW87" s="3">
        <f aca="true" t="shared" si="64" ref="AW87:AW94">LOG10(AV87)</f>
        <v>-1.2724524260080194</v>
      </c>
      <c r="AZ87" s="3"/>
      <c r="BJ87" s="5"/>
    </row>
    <row r="88" spans="1:62" ht="12.75">
      <c r="A88" t="s">
        <v>548</v>
      </c>
      <c r="B88">
        <v>46</v>
      </c>
      <c r="C88">
        <v>185</v>
      </c>
      <c r="D88">
        <v>70</v>
      </c>
      <c r="F88" t="s">
        <v>548</v>
      </c>
      <c r="G88" t="s">
        <v>274</v>
      </c>
      <c r="H88">
        <v>5.2</v>
      </c>
      <c r="I88">
        <v>15</v>
      </c>
      <c r="J88">
        <v>14</v>
      </c>
      <c r="K88" s="3">
        <f t="shared" si="40"/>
        <v>1.0714285714285714</v>
      </c>
      <c r="L88" s="3">
        <v>0.943</v>
      </c>
      <c r="M88" s="3">
        <f t="shared" si="41"/>
        <v>-0.025488307262671647</v>
      </c>
      <c r="N88" s="3">
        <f aca="true" t="shared" si="65" ref="N88:N94">L88</f>
        <v>0.943</v>
      </c>
      <c r="O88" s="3">
        <f t="shared" si="53"/>
        <v>-0.025488307262671647</v>
      </c>
      <c r="P88" s="3">
        <f t="shared" si="42"/>
        <v>2.864704011147586</v>
      </c>
      <c r="Q88" s="3">
        <f t="shared" si="43"/>
        <v>0.45707975615822416</v>
      </c>
      <c r="R88" s="3">
        <f t="shared" si="54"/>
        <v>2.864704011147586</v>
      </c>
      <c r="S88" s="3">
        <f t="shared" si="55"/>
        <v>0.45707975615822416</v>
      </c>
      <c r="T88" s="3"/>
      <c r="U88" t="s">
        <v>548</v>
      </c>
      <c r="V88" s="3">
        <v>0.552</v>
      </c>
      <c r="W88" s="3">
        <f t="shared" si="44"/>
        <v>-0.258060922270801</v>
      </c>
      <c r="X88" s="3">
        <f aca="true" t="shared" si="66" ref="X88:X94">V88</f>
        <v>0.552</v>
      </c>
      <c r="Y88" s="3">
        <f t="shared" si="56"/>
        <v>-0.258060922270801</v>
      </c>
      <c r="Z88" s="3">
        <f t="shared" si="45"/>
        <v>0.802962046567152</v>
      </c>
      <c r="AA88" s="3">
        <f t="shared" si="46"/>
        <v>-0.09530498193924863</v>
      </c>
      <c r="AB88" s="3">
        <f t="shared" si="57"/>
        <v>0.802962046567152</v>
      </c>
      <c r="AC88" s="3">
        <f t="shared" si="58"/>
        <v>-0.09530498193924863</v>
      </c>
      <c r="AE88" t="s">
        <v>548</v>
      </c>
      <c r="AF88" s="3">
        <v>0.352</v>
      </c>
      <c r="AG88" s="3">
        <f t="shared" si="47"/>
        <v>-0.45345733652186904</v>
      </c>
      <c r="AH88" s="3">
        <f aca="true" t="shared" si="67" ref="AH88:AH94">AF88</f>
        <v>0.352</v>
      </c>
      <c r="AI88" s="3">
        <f t="shared" si="59"/>
        <v>-0.45345733652186904</v>
      </c>
      <c r="AJ88" s="3">
        <f t="shared" si="48"/>
        <v>0.4338645826298623</v>
      </c>
      <c r="AK88" s="3">
        <f t="shared" si="49"/>
        <v>-0.3626458008876439</v>
      </c>
      <c r="AL88" s="3">
        <f t="shared" si="60"/>
        <v>0.4338645826298623</v>
      </c>
      <c r="AM88" s="3">
        <f t="shared" si="61"/>
        <v>-0.3626458008876439</v>
      </c>
      <c r="AO88" t="s">
        <v>548</v>
      </c>
      <c r="AP88" s="3">
        <v>0.039</v>
      </c>
      <c r="AQ88" s="3">
        <f t="shared" si="50"/>
        <v>-1.4089353929735007</v>
      </c>
      <c r="AR88" s="3">
        <f aca="true" t="shared" si="68" ref="AR88:AR94">AP88</f>
        <v>0.039</v>
      </c>
      <c r="AS88" s="3">
        <f t="shared" si="62"/>
        <v>-1.4089353929735007</v>
      </c>
      <c r="AT88" s="3">
        <f t="shared" si="51"/>
        <v>0.039780870011844605</v>
      </c>
      <c r="AU88" s="3">
        <f t="shared" si="52"/>
        <v>-1.4003257230413582</v>
      </c>
      <c r="AV88" s="3">
        <f t="shared" si="63"/>
        <v>0.039780870011844605</v>
      </c>
      <c r="AW88" s="3">
        <f t="shared" si="64"/>
        <v>-1.4003257230413582</v>
      </c>
      <c r="AZ88" s="3"/>
      <c r="BJ88" s="5"/>
    </row>
    <row r="89" spans="1:62" ht="12.75">
      <c r="A89" t="s">
        <v>578</v>
      </c>
      <c r="B89">
        <v>32</v>
      </c>
      <c r="C89">
        <v>165</v>
      </c>
      <c r="D89">
        <v>71</v>
      </c>
      <c r="F89" t="s">
        <v>578</v>
      </c>
      <c r="G89" t="s">
        <v>275</v>
      </c>
      <c r="H89">
        <v>4.8</v>
      </c>
      <c r="I89">
        <v>17.5</v>
      </c>
      <c r="J89">
        <v>14</v>
      </c>
      <c r="K89" s="3">
        <f t="shared" si="40"/>
        <v>1.25</v>
      </c>
      <c r="L89" s="3">
        <v>0.963</v>
      </c>
      <c r="M89" s="3">
        <f t="shared" si="41"/>
        <v>-0.016373712875465497</v>
      </c>
      <c r="N89" s="3">
        <f t="shared" si="65"/>
        <v>0.963</v>
      </c>
      <c r="O89" s="3">
        <f t="shared" si="53"/>
        <v>-0.016373712875465497</v>
      </c>
      <c r="P89" s="3">
        <f t="shared" si="42"/>
        <v>3.2968373663379116</v>
      </c>
      <c r="Q89" s="3">
        <f t="shared" si="43"/>
        <v>0.5180975238358716</v>
      </c>
      <c r="R89" s="3">
        <f t="shared" si="54"/>
        <v>3.2968373663379116</v>
      </c>
      <c r="S89" s="3">
        <f t="shared" si="55"/>
        <v>0.5180975238358716</v>
      </c>
      <c r="T89" s="3"/>
      <c r="U89" t="s">
        <v>578</v>
      </c>
      <c r="V89" s="3">
        <v>0.795</v>
      </c>
      <c r="W89" s="3">
        <f t="shared" si="44"/>
        <v>-0.09963287134352969</v>
      </c>
      <c r="X89" s="3">
        <f t="shared" si="66"/>
        <v>0.795</v>
      </c>
      <c r="Y89" s="3">
        <f t="shared" si="56"/>
        <v>-0.09963287134352969</v>
      </c>
      <c r="Z89" s="3">
        <f t="shared" si="45"/>
        <v>1.584745299843729</v>
      </c>
      <c r="AA89" s="3">
        <f t="shared" si="46"/>
        <v>0.19995947238283052</v>
      </c>
      <c r="AB89" s="3">
        <f t="shared" si="57"/>
        <v>1.584745299843729</v>
      </c>
      <c r="AC89" s="3">
        <f t="shared" si="58"/>
        <v>0.19995947238283052</v>
      </c>
      <c r="AE89" t="s">
        <v>578</v>
      </c>
      <c r="AF89" s="3">
        <v>0.16</v>
      </c>
      <c r="AG89" s="3">
        <f t="shared" si="47"/>
        <v>-0.7958800173440752</v>
      </c>
      <c r="AH89" s="3">
        <f t="shared" si="67"/>
        <v>0.16</v>
      </c>
      <c r="AI89" s="3">
        <f t="shared" si="59"/>
        <v>-0.7958800173440752</v>
      </c>
      <c r="AJ89" s="3">
        <f t="shared" si="48"/>
        <v>0.1743533871447778</v>
      </c>
      <c r="AK89" s="3">
        <f t="shared" si="49"/>
        <v>-0.7585696112131687</v>
      </c>
      <c r="AL89" s="3">
        <f t="shared" si="60"/>
        <v>0.1743533871447778</v>
      </c>
      <c r="AM89" s="3">
        <f t="shared" si="61"/>
        <v>-0.7585696112131687</v>
      </c>
      <c r="AO89" t="s">
        <v>578</v>
      </c>
      <c r="AP89" s="3">
        <v>0.008</v>
      </c>
      <c r="AQ89" s="3">
        <f t="shared" si="50"/>
        <v>-2.0969100130080567</v>
      </c>
      <c r="AR89" s="3">
        <f t="shared" si="68"/>
        <v>0.008</v>
      </c>
      <c r="AS89" s="3">
        <f t="shared" si="62"/>
        <v>-2.0969100130080567</v>
      </c>
      <c r="AT89" s="3">
        <f t="shared" si="51"/>
        <v>0.008032171697264268</v>
      </c>
      <c r="AU89" s="3">
        <f t="shared" si="52"/>
        <v>-2.0951670165365255</v>
      </c>
      <c r="AV89" s="3">
        <f t="shared" si="63"/>
        <v>0.008032171697264268</v>
      </c>
      <c r="AW89" s="3">
        <f t="shared" si="64"/>
        <v>-2.0951670165365255</v>
      </c>
      <c r="AZ89" s="3"/>
      <c r="BJ89" s="5"/>
    </row>
    <row r="90" spans="1:62" ht="12.75">
      <c r="A90" t="s">
        <v>579</v>
      </c>
      <c r="B90">
        <v>28</v>
      </c>
      <c r="C90">
        <v>147</v>
      </c>
      <c r="D90">
        <v>73</v>
      </c>
      <c r="F90" t="s">
        <v>579</v>
      </c>
      <c r="G90" t="s">
        <v>276</v>
      </c>
      <c r="H90">
        <v>5.2</v>
      </c>
      <c r="I90">
        <v>13.5</v>
      </c>
      <c r="J90">
        <v>14</v>
      </c>
      <c r="K90" s="3">
        <f t="shared" si="40"/>
        <v>0.9642857142857143</v>
      </c>
      <c r="L90" s="3">
        <v>0.945</v>
      </c>
      <c r="M90" s="3">
        <f t="shared" si="41"/>
        <v>-0.02456819149073708</v>
      </c>
      <c r="N90" s="3">
        <f t="shared" si="65"/>
        <v>0.945</v>
      </c>
      <c r="O90" s="3">
        <f t="shared" si="53"/>
        <v>-0.02456819149073708</v>
      </c>
      <c r="P90" s="3">
        <f t="shared" si="42"/>
        <v>2.900422093749665</v>
      </c>
      <c r="Q90" s="3">
        <f t="shared" si="43"/>
        <v>0.4624612046738032</v>
      </c>
      <c r="R90" s="3">
        <f t="shared" si="54"/>
        <v>2.900422093749665</v>
      </c>
      <c r="S90" s="3">
        <f t="shared" si="55"/>
        <v>0.4624612046738032</v>
      </c>
      <c r="T90" s="3"/>
      <c r="U90" t="s">
        <v>579</v>
      </c>
      <c r="V90" s="3">
        <v>0.44900000000000007</v>
      </c>
      <c r="W90" s="3">
        <f t="shared" si="44"/>
        <v>-0.34775365899667676</v>
      </c>
      <c r="X90" s="3">
        <f t="shared" si="66"/>
        <v>0.44900000000000007</v>
      </c>
      <c r="Y90" s="3">
        <f t="shared" si="56"/>
        <v>-0.34775365899667676</v>
      </c>
      <c r="Z90" s="3">
        <f t="shared" si="45"/>
        <v>0.5960204698292226</v>
      </c>
      <c r="AA90" s="3">
        <f t="shared" si="46"/>
        <v>-0.22473882451946753</v>
      </c>
      <c r="AB90" s="3">
        <f t="shared" si="57"/>
        <v>0.5960204698292226</v>
      </c>
      <c r="AC90" s="3">
        <f t="shared" si="58"/>
        <v>-0.22473882451946753</v>
      </c>
      <c r="AE90" t="s">
        <v>579</v>
      </c>
      <c r="AF90" s="3">
        <v>0.422</v>
      </c>
      <c r="AG90" s="3">
        <f t="shared" si="47"/>
        <v>-0.37468754903832613</v>
      </c>
      <c r="AH90" s="3">
        <f t="shared" si="67"/>
        <v>0.422</v>
      </c>
      <c r="AI90" s="3">
        <f t="shared" si="59"/>
        <v>-0.37468754903832613</v>
      </c>
      <c r="AJ90" s="3">
        <f t="shared" si="48"/>
        <v>0.5481814103097595</v>
      </c>
      <c r="AK90" s="3">
        <f t="shared" si="49"/>
        <v>-0.26107569615292503</v>
      </c>
      <c r="AL90" s="3">
        <f t="shared" si="60"/>
        <v>0.5481814103097595</v>
      </c>
      <c r="AM90" s="3">
        <f t="shared" si="61"/>
        <v>-0.26107569615292503</v>
      </c>
      <c r="AO90" t="s">
        <v>579</v>
      </c>
      <c r="AP90" s="3">
        <v>0.074</v>
      </c>
      <c r="AQ90" s="3">
        <f t="shared" si="50"/>
        <v>-1.1307682802690238</v>
      </c>
      <c r="AR90" s="3">
        <f t="shared" si="68"/>
        <v>0.074</v>
      </c>
      <c r="AS90" s="3">
        <f t="shared" si="62"/>
        <v>-1.1307682802690238</v>
      </c>
      <c r="AT90" s="3">
        <f t="shared" si="51"/>
        <v>0.07688104433595762</v>
      </c>
      <c r="AU90" s="3">
        <f t="shared" si="52"/>
        <v>-1.114180725934423</v>
      </c>
      <c r="AV90" s="3">
        <f t="shared" si="63"/>
        <v>0.07688104433595762</v>
      </c>
      <c r="AW90" s="3">
        <f t="shared" si="64"/>
        <v>-1.114180725934423</v>
      </c>
      <c r="AZ90" s="3"/>
      <c r="BJ90" s="5"/>
    </row>
    <row r="91" spans="1:62" ht="12.75">
      <c r="A91" t="s">
        <v>580</v>
      </c>
      <c r="B91">
        <v>30</v>
      </c>
      <c r="C91">
        <v>165</v>
      </c>
      <c r="D91">
        <v>74</v>
      </c>
      <c r="F91" t="s">
        <v>580</v>
      </c>
      <c r="G91" t="s">
        <v>277</v>
      </c>
      <c r="H91">
        <v>5.3</v>
      </c>
      <c r="I91">
        <v>14</v>
      </c>
      <c r="J91">
        <v>14</v>
      </c>
      <c r="K91" s="3">
        <f t="shared" si="40"/>
        <v>1</v>
      </c>
      <c r="L91" s="3">
        <v>0.917</v>
      </c>
      <c r="M91" s="3">
        <f t="shared" si="41"/>
        <v>-0.03763066432997889</v>
      </c>
      <c r="N91" s="3">
        <f t="shared" si="65"/>
        <v>0.917</v>
      </c>
      <c r="O91" s="3">
        <f t="shared" si="53"/>
        <v>-0.03763066432997889</v>
      </c>
      <c r="P91" s="3">
        <f t="shared" si="42"/>
        <v>2.4889146711855394</v>
      </c>
      <c r="Q91" s="3">
        <f t="shared" si="43"/>
        <v>0.3960100077100407</v>
      </c>
      <c r="R91" s="3">
        <f t="shared" si="54"/>
        <v>2.4889146711855394</v>
      </c>
      <c r="S91" s="3">
        <f t="shared" si="55"/>
        <v>0.3960100077100407</v>
      </c>
      <c r="T91" s="3"/>
      <c r="U91" t="s">
        <v>580</v>
      </c>
      <c r="V91" s="3">
        <v>0.635</v>
      </c>
      <c r="W91" s="3">
        <f t="shared" si="44"/>
        <v>-0.19722627470802429</v>
      </c>
      <c r="X91" s="3">
        <f t="shared" si="66"/>
        <v>0.635</v>
      </c>
      <c r="Y91" s="3">
        <f t="shared" si="56"/>
        <v>-0.19722627470802429</v>
      </c>
      <c r="Z91" s="3">
        <f t="shared" si="45"/>
        <v>1.0078579253996456</v>
      </c>
      <c r="AA91" s="3">
        <f t="shared" si="46"/>
        <v>0.0033993152804063266</v>
      </c>
      <c r="AB91" s="3">
        <f t="shared" si="57"/>
        <v>1.0078579253996456</v>
      </c>
      <c r="AC91" s="3">
        <f t="shared" si="58"/>
        <v>0.0033993152804063266</v>
      </c>
      <c r="AE91" t="s">
        <v>580</v>
      </c>
      <c r="AF91" s="3">
        <v>0.254</v>
      </c>
      <c r="AG91" s="3">
        <f t="shared" si="47"/>
        <v>-0.595166283380062</v>
      </c>
      <c r="AH91" s="3">
        <f t="shared" si="67"/>
        <v>0.254</v>
      </c>
      <c r="AI91" s="3">
        <f t="shared" si="59"/>
        <v>-0.595166283380062</v>
      </c>
      <c r="AJ91" s="3">
        <f t="shared" si="48"/>
        <v>0.29302967877837627</v>
      </c>
      <c r="AK91" s="3">
        <f t="shared" si="49"/>
        <v>-0.5330883909874446</v>
      </c>
      <c r="AL91" s="3">
        <f t="shared" si="60"/>
        <v>0.29302967877837627</v>
      </c>
      <c r="AM91" s="3">
        <f t="shared" si="61"/>
        <v>-0.5330883909874446</v>
      </c>
      <c r="AO91" t="s">
        <v>580</v>
      </c>
      <c r="AP91" s="3">
        <v>0.028</v>
      </c>
      <c r="AQ91" s="3">
        <f t="shared" si="50"/>
        <v>-1.5528419686577808</v>
      </c>
      <c r="AR91" s="3">
        <f t="shared" si="68"/>
        <v>0.028</v>
      </c>
      <c r="AS91" s="3">
        <f t="shared" si="62"/>
        <v>-1.5528419686577808</v>
      </c>
      <c r="AT91" s="3">
        <f t="shared" si="51"/>
        <v>0.028399474521698</v>
      </c>
      <c r="AU91" s="3">
        <f t="shared" si="52"/>
        <v>-1.546689695672618</v>
      </c>
      <c r="AV91" s="3">
        <f t="shared" si="63"/>
        <v>0.028399474521698</v>
      </c>
      <c r="AW91" s="3">
        <f t="shared" si="64"/>
        <v>-1.546689695672618</v>
      </c>
      <c r="AZ91" s="3"/>
      <c r="BJ91" s="5"/>
    </row>
    <row r="92" spans="1:62" ht="12.75">
      <c r="A92" t="s">
        <v>581</v>
      </c>
      <c r="B92">
        <v>30</v>
      </c>
      <c r="C92">
        <v>155</v>
      </c>
      <c r="D92">
        <v>69</v>
      </c>
      <c r="F92" t="s">
        <v>581</v>
      </c>
      <c r="G92" t="s">
        <v>348</v>
      </c>
      <c r="H92">
        <v>5.3</v>
      </c>
      <c r="I92">
        <v>13.5</v>
      </c>
      <c r="J92">
        <v>14</v>
      </c>
      <c r="K92" s="3">
        <f t="shared" si="40"/>
        <v>0.9642857142857143</v>
      </c>
      <c r="L92" s="3">
        <v>0.955</v>
      </c>
      <c r="M92" s="3">
        <f t="shared" si="41"/>
        <v>-0.019996628416253673</v>
      </c>
      <c r="N92" s="3">
        <f t="shared" si="65"/>
        <v>0.955</v>
      </c>
      <c r="O92" s="3">
        <f t="shared" si="53"/>
        <v>-0.019996628416253673</v>
      </c>
      <c r="P92" s="3">
        <f t="shared" si="42"/>
        <v>3.1010927892118163</v>
      </c>
      <c r="Q92" s="3">
        <f t="shared" si="43"/>
        <v>0.4915147611550241</v>
      </c>
      <c r="R92" s="3">
        <f t="shared" si="54"/>
        <v>3.1010927892118163</v>
      </c>
      <c r="S92" s="3">
        <f t="shared" si="55"/>
        <v>0.4915147611550241</v>
      </c>
      <c r="T92" s="3"/>
      <c r="U92" t="s">
        <v>581</v>
      </c>
      <c r="V92" s="3">
        <v>0.755</v>
      </c>
      <c r="W92" s="3">
        <f t="shared" si="44"/>
        <v>-0.12205304837081175</v>
      </c>
      <c r="X92" s="3">
        <f t="shared" si="66"/>
        <v>0.755</v>
      </c>
      <c r="Y92" s="3">
        <f t="shared" si="56"/>
        <v>-0.12205304837081175</v>
      </c>
      <c r="Z92" s="3">
        <f t="shared" si="45"/>
        <v>1.40649706843741</v>
      </c>
      <c r="AA92" s="3">
        <f t="shared" si="46"/>
        <v>0.1481388313019428</v>
      </c>
      <c r="AB92" s="3">
        <f t="shared" si="57"/>
        <v>1.40649706843741</v>
      </c>
      <c r="AC92" s="3">
        <f t="shared" si="58"/>
        <v>0.1481388313019428</v>
      </c>
      <c r="AE92" t="s">
        <v>581</v>
      </c>
      <c r="AF92" s="3">
        <v>0.19</v>
      </c>
      <c r="AG92" s="3">
        <f t="shared" si="47"/>
        <v>-0.721246399047171</v>
      </c>
      <c r="AH92" s="3">
        <f t="shared" si="67"/>
        <v>0.19</v>
      </c>
      <c r="AI92" s="3">
        <f t="shared" si="59"/>
        <v>-0.721246399047171</v>
      </c>
      <c r="AJ92" s="3">
        <f t="shared" si="48"/>
        <v>0.21072103131565253</v>
      </c>
      <c r="AK92" s="3">
        <f t="shared" si="49"/>
        <v>-0.6762921168431828</v>
      </c>
      <c r="AL92" s="3">
        <f t="shared" si="60"/>
        <v>0.21072103131565253</v>
      </c>
      <c r="AM92" s="3">
        <f t="shared" si="61"/>
        <v>-0.6762921168431828</v>
      </c>
      <c r="AO92" t="s">
        <v>581</v>
      </c>
      <c r="AP92" s="3">
        <v>0.01</v>
      </c>
      <c r="AQ92" s="3">
        <f t="shared" si="50"/>
        <v>-2</v>
      </c>
      <c r="AR92" s="3">
        <f t="shared" si="68"/>
        <v>0.01</v>
      </c>
      <c r="AS92" s="3">
        <f t="shared" si="62"/>
        <v>-2</v>
      </c>
      <c r="AT92" s="3">
        <f t="shared" si="51"/>
        <v>0.01005033585350145</v>
      </c>
      <c r="AU92" s="3">
        <f t="shared" si="52"/>
        <v>-1.9978194251205788</v>
      </c>
      <c r="AV92" s="3">
        <f t="shared" si="63"/>
        <v>0.01005033585350145</v>
      </c>
      <c r="AW92" s="3">
        <f t="shared" si="64"/>
        <v>-1.9978194251205788</v>
      </c>
      <c r="AZ92" s="3"/>
      <c r="BJ92" s="5"/>
    </row>
    <row r="93" spans="1:62" ht="12.75">
      <c r="A93" t="s">
        <v>582</v>
      </c>
      <c r="B93">
        <v>38</v>
      </c>
      <c r="C93">
        <v>144</v>
      </c>
      <c r="D93">
        <v>70</v>
      </c>
      <c r="F93" t="s">
        <v>582</v>
      </c>
      <c r="G93" t="s">
        <v>349</v>
      </c>
      <c r="H93">
        <v>5.1</v>
      </c>
      <c r="I93">
        <v>19.8</v>
      </c>
      <c r="J93">
        <v>14</v>
      </c>
      <c r="K93" s="3">
        <f t="shared" si="40"/>
        <v>1.4142857142857144</v>
      </c>
      <c r="L93" s="3">
        <v>0.968</v>
      </c>
      <c r="M93" s="3">
        <f t="shared" si="41"/>
        <v>-0.014124642691606347</v>
      </c>
      <c r="N93" s="3">
        <f t="shared" si="65"/>
        <v>0.968</v>
      </c>
      <c r="O93" s="3">
        <f t="shared" si="53"/>
        <v>-0.014124642691606347</v>
      </c>
      <c r="P93" s="3">
        <f t="shared" si="42"/>
        <v>3.44201937618241</v>
      </c>
      <c r="Q93" s="3">
        <f t="shared" si="43"/>
        <v>0.5368133107752182</v>
      </c>
      <c r="R93" s="3">
        <f t="shared" si="54"/>
        <v>3.44201937618241</v>
      </c>
      <c r="S93" s="3">
        <f t="shared" si="55"/>
        <v>0.5368133107752182</v>
      </c>
      <c r="T93" s="3"/>
      <c r="U93" t="s">
        <v>582</v>
      </c>
      <c r="V93" s="3">
        <v>0.62</v>
      </c>
      <c r="W93" s="3">
        <f t="shared" si="44"/>
        <v>-0.2076083105017461</v>
      </c>
      <c r="X93" s="3">
        <f t="shared" si="66"/>
        <v>0.62</v>
      </c>
      <c r="Y93" s="3">
        <f t="shared" si="56"/>
        <v>-0.2076083105017461</v>
      </c>
      <c r="Z93" s="3">
        <f t="shared" si="45"/>
        <v>0.9675840262617055</v>
      </c>
      <c r="AA93" s="3">
        <f t="shared" si="46"/>
        <v>-0.014311309970823463</v>
      </c>
      <c r="AB93" s="3">
        <f t="shared" si="57"/>
        <v>0.9675840262617055</v>
      </c>
      <c r="AC93" s="3">
        <f t="shared" si="58"/>
        <v>-0.014311309970823463</v>
      </c>
      <c r="AE93" t="s">
        <v>582</v>
      </c>
      <c r="AF93" s="3">
        <v>0.286</v>
      </c>
      <c r="AG93" s="3">
        <f t="shared" si="47"/>
        <v>-0.543633966870957</v>
      </c>
      <c r="AH93" s="3">
        <f t="shared" si="67"/>
        <v>0.286</v>
      </c>
      <c r="AI93" s="3">
        <f t="shared" si="59"/>
        <v>-0.543633966870957</v>
      </c>
      <c r="AJ93" s="3">
        <f t="shared" si="48"/>
        <v>0.3368723166425527</v>
      </c>
      <c r="AK93" s="3">
        <f t="shared" si="49"/>
        <v>-0.4725346768294048</v>
      </c>
      <c r="AL93" s="3">
        <f t="shared" si="60"/>
        <v>0.3368723166425527</v>
      </c>
      <c r="AM93" s="3">
        <f t="shared" si="61"/>
        <v>-0.4725346768294048</v>
      </c>
      <c r="AO93" t="s">
        <v>582</v>
      </c>
      <c r="AP93" s="3">
        <v>0.062</v>
      </c>
      <c r="AQ93" s="3">
        <f t="shared" si="50"/>
        <v>-1.207608310501746</v>
      </c>
      <c r="AR93" s="3">
        <f t="shared" si="68"/>
        <v>0.062</v>
      </c>
      <c r="AS93" s="3">
        <f t="shared" si="62"/>
        <v>-1.207608310501746</v>
      </c>
      <c r="AT93" s="3">
        <f t="shared" si="51"/>
        <v>0.06400532997591245</v>
      </c>
      <c r="AU93" s="3">
        <f t="shared" si="52"/>
        <v>-1.1937838590982317</v>
      </c>
      <c r="AV93" s="3">
        <f t="shared" si="63"/>
        <v>0.06400532997591245</v>
      </c>
      <c r="AW93" s="3">
        <f t="shared" si="64"/>
        <v>-1.1937838590982317</v>
      </c>
      <c r="AZ93" s="3"/>
      <c r="BJ93" s="5"/>
    </row>
    <row r="94" spans="1:62" ht="12.75">
      <c r="A94" t="s">
        <v>583</v>
      </c>
      <c r="B94">
        <v>33</v>
      </c>
      <c r="C94">
        <v>190</v>
      </c>
      <c r="D94">
        <v>70</v>
      </c>
      <c r="F94" t="s">
        <v>583</v>
      </c>
      <c r="G94" t="s">
        <v>350</v>
      </c>
      <c r="H94">
        <v>4.9</v>
      </c>
      <c r="I94">
        <v>11.7</v>
      </c>
      <c r="J94">
        <v>14</v>
      </c>
      <c r="K94" s="3">
        <f t="shared" si="40"/>
        <v>0.8357142857142856</v>
      </c>
      <c r="L94" s="3">
        <v>0.9329999999999999</v>
      </c>
      <c r="M94" s="3">
        <f t="shared" si="41"/>
        <v>-0.030118356253500088</v>
      </c>
      <c r="N94" s="3">
        <f t="shared" si="65"/>
        <v>0.9329999999999999</v>
      </c>
      <c r="O94" s="3">
        <f t="shared" si="53"/>
        <v>-0.030118356253500088</v>
      </c>
      <c r="P94" s="3">
        <f t="shared" si="42"/>
        <v>2.70306265959117</v>
      </c>
      <c r="Q94" s="3">
        <f t="shared" si="43"/>
        <v>0.43185611317903344</v>
      </c>
      <c r="R94" s="3">
        <f t="shared" si="54"/>
        <v>2.70306265959117</v>
      </c>
      <c r="S94" s="3">
        <f t="shared" si="55"/>
        <v>0.43185611317903344</v>
      </c>
      <c r="T94" s="3"/>
      <c r="U94" t="s">
        <v>583</v>
      </c>
      <c r="V94" s="3">
        <v>0.498</v>
      </c>
      <c r="W94" s="3">
        <f t="shared" si="44"/>
        <v>-0.30277065724028246</v>
      </c>
      <c r="X94" s="3">
        <f t="shared" si="66"/>
        <v>0.498</v>
      </c>
      <c r="Y94" s="3">
        <f t="shared" si="56"/>
        <v>-0.30277065724028246</v>
      </c>
      <c r="Z94" s="3">
        <f t="shared" si="45"/>
        <v>0.6891551592904078</v>
      </c>
      <c r="AA94" s="3">
        <f t="shared" si="46"/>
        <v>-0.16168298819771593</v>
      </c>
      <c r="AB94" s="3">
        <f t="shared" si="57"/>
        <v>0.6891551592904078</v>
      </c>
      <c r="AC94" s="3">
        <f t="shared" si="58"/>
        <v>-0.16168298819771593</v>
      </c>
      <c r="AE94" t="s">
        <v>583</v>
      </c>
      <c r="AF94" s="3">
        <v>0.37</v>
      </c>
      <c r="AG94" s="3">
        <f t="shared" si="47"/>
        <v>-0.431798275933005</v>
      </c>
      <c r="AH94" s="3">
        <f t="shared" si="67"/>
        <v>0.37</v>
      </c>
      <c r="AI94" s="3">
        <f t="shared" si="59"/>
        <v>-0.431798275933005</v>
      </c>
      <c r="AJ94" s="3">
        <f t="shared" si="48"/>
        <v>0.4620354595965587</v>
      </c>
      <c r="AK94" s="3">
        <f t="shared" si="49"/>
        <v>-0.33532469259072195</v>
      </c>
      <c r="AL94" s="3">
        <f t="shared" si="60"/>
        <v>0.4620354595965587</v>
      </c>
      <c r="AM94" s="3">
        <f t="shared" si="61"/>
        <v>-0.33532469259072195</v>
      </c>
      <c r="AO94" t="s">
        <v>583</v>
      </c>
      <c r="AP94" s="3">
        <v>0.065</v>
      </c>
      <c r="AQ94" s="3">
        <f t="shared" si="50"/>
        <v>-1.1870866433571445</v>
      </c>
      <c r="AR94" s="3">
        <f t="shared" si="68"/>
        <v>0.065</v>
      </c>
      <c r="AS94" s="3">
        <f t="shared" si="62"/>
        <v>-1.1870866433571445</v>
      </c>
      <c r="AT94" s="3">
        <f t="shared" si="51"/>
        <v>0.06720874969345</v>
      </c>
      <c r="AU94" s="3">
        <f t="shared" si="52"/>
        <v>-1.172574183847638</v>
      </c>
      <c r="AV94" s="3">
        <f t="shared" si="63"/>
        <v>0.06720874969345</v>
      </c>
      <c r="AW94" s="3">
        <f t="shared" si="64"/>
        <v>-1.172574183847638</v>
      </c>
      <c r="AZ94" s="3"/>
      <c r="BJ94" s="5"/>
    </row>
    <row r="95" spans="1:49" ht="12.75">
      <c r="A95" t="s">
        <v>577</v>
      </c>
      <c r="B95">
        <v>24</v>
      </c>
      <c r="C95">
        <v>185</v>
      </c>
      <c r="D95">
        <v>71</v>
      </c>
      <c r="F95" t="s">
        <v>577</v>
      </c>
      <c r="G95" t="s">
        <v>351</v>
      </c>
      <c r="H95">
        <v>4.8</v>
      </c>
      <c r="I95">
        <v>16.3</v>
      </c>
      <c r="J95">
        <v>14</v>
      </c>
      <c r="K95" s="3">
        <f t="shared" si="40"/>
        <v>1.1642857142857144</v>
      </c>
      <c r="L95" s="3">
        <v>0.948</v>
      </c>
      <c r="M95" s="3">
        <f t="shared" si="41"/>
        <v>-0.023191662661933763</v>
      </c>
      <c r="N95" s="3"/>
      <c r="O95" s="3"/>
      <c r="P95" s="3">
        <f t="shared" si="42"/>
        <v>2.956511560400709</v>
      </c>
      <c r="Q95" s="3">
        <f t="shared" si="43"/>
        <v>0.4707795814945768</v>
      </c>
      <c r="R95" s="3"/>
      <c r="S95" s="3"/>
      <c r="T95" s="3"/>
      <c r="U95" t="s">
        <v>577</v>
      </c>
      <c r="V95" s="3">
        <v>0.34600000000000003</v>
      </c>
      <c r="W95" s="3">
        <f t="shared" si="44"/>
        <v>-0.4609239012072234</v>
      </c>
      <c r="X95" s="3"/>
      <c r="Y95" s="3"/>
      <c r="Z95" s="3">
        <f t="shared" si="45"/>
        <v>0.4246479275249385</v>
      </c>
      <c r="AA95" s="3">
        <f t="shared" si="46"/>
        <v>-0.37197099112867865</v>
      </c>
      <c r="AB95" s="3"/>
      <c r="AC95" s="3"/>
      <c r="AE95" t="s">
        <v>577</v>
      </c>
      <c r="AF95" s="3">
        <v>0.572</v>
      </c>
      <c r="AG95" s="3">
        <f t="shared" si="47"/>
        <v>-0.24260397120697585</v>
      </c>
      <c r="AH95" s="3"/>
      <c r="AI95" s="3"/>
      <c r="AJ95" s="3">
        <f t="shared" si="48"/>
        <v>0.8486320834003401</v>
      </c>
      <c r="AK95" s="3">
        <f t="shared" si="49"/>
        <v>-0.07128055331376153</v>
      </c>
      <c r="AL95" s="3"/>
      <c r="AM95" s="3"/>
      <c r="AO95" t="s">
        <v>577</v>
      </c>
      <c r="AP95" s="3">
        <v>0.03</v>
      </c>
      <c r="AQ95" s="3">
        <f t="shared" si="50"/>
        <v>-1.5228787452803376</v>
      </c>
      <c r="AR95" s="3"/>
      <c r="AS95" s="3"/>
      <c r="AT95" s="3">
        <f t="shared" si="51"/>
        <v>0.030459207484708574</v>
      </c>
      <c r="AU95" s="3">
        <f t="shared" si="52"/>
        <v>-1.5162814007207743</v>
      </c>
      <c r="AV95" s="3"/>
      <c r="AW95" s="3"/>
    </row>
    <row r="96" spans="1:49" ht="12.75">
      <c r="A96" t="s">
        <v>577</v>
      </c>
      <c r="B96">
        <v>24</v>
      </c>
      <c r="C96">
        <v>185</v>
      </c>
      <c r="D96">
        <v>71</v>
      </c>
      <c r="F96" t="s">
        <v>577</v>
      </c>
      <c r="G96" t="s">
        <v>352</v>
      </c>
      <c r="H96">
        <v>5.2</v>
      </c>
      <c r="I96">
        <v>16</v>
      </c>
      <c r="J96">
        <v>14</v>
      </c>
      <c r="K96" s="3">
        <f t="shared" si="40"/>
        <v>1.1428571428571428</v>
      </c>
      <c r="L96" s="3">
        <v>0.972</v>
      </c>
      <c r="M96" s="3">
        <f t="shared" si="41"/>
        <v>-0.012333735073725434</v>
      </c>
      <c r="N96" s="3">
        <f>AVERAGE(L95:L96)</f>
        <v>0.96</v>
      </c>
      <c r="O96" s="3">
        <f>LOG10(N96)</f>
        <v>-0.017728766960431602</v>
      </c>
      <c r="P96" s="3">
        <f t="shared" si="42"/>
        <v>3.575550768806932</v>
      </c>
      <c r="Q96" s="3">
        <f t="shared" si="43"/>
        <v>0.5533429489147628</v>
      </c>
      <c r="R96" s="3">
        <f>-LN(1-N96)</f>
        <v>3.2188758248681997</v>
      </c>
      <c r="S96" s="3">
        <f>LOG10(R96)</f>
        <v>0.5077042231551</v>
      </c>
      <c r="T96" s="3"/>
      <c r="U96" t="s">
        <v>577</v>
      </c>
      <c r="V96" s="3">
        <v>0.7210000000000001</v>
      </c>
      <c r="W96" s="3">
        <f t="shared" si="44"/>
        <v>-0.14206473528057093</v>
      </c>
      <c r="X96" s="3">
        <f>AVERAGE(V95:V96)</f>
        <v>0.5335000000000001</v>
      </c>
      <c r="Y96" s="3">
        <f>LOG10(X96)</f>
        <v>-0.27286557623951124</v>
      </c>
      <c r="Z96" s="3">
        <f t="shared" si="45"/>
        <v>1.2765434971607716</v>
      </c>
      <c r="AA96" s="3">
        <f t="shared" si="46"/>
        <v>0.10603561761661662</v>
      </c>
      <c r="AB96" s="3">
        <f>-LN(1-X96)</f>
        <v>0.7624972586947387</v>
      </c>
      <c r="AC96" s="3">
        <f>LOG10(AB96)</f>
        <v>-0.11776171333971852</v>
      </c>
      <c r="AE96" t="s">
        <v>577</v>
      </c>
      <c r="AF96" s="3">
        <v>0.251</v>
      </c>
      <c r="AG96" s="3">
        <f t="shared" si="47"/>
        <v>-0.6003262785189618</v>
      </c>
      <c r="AH96" s="3">
        <f>AVERAGE(AF95:AF96)</f>
        <v>0.4115</v>
      </c>
      <c r="AI96" s="3">
        <f>LOG10(AH96)</f>
        <v>-0.3856301604517114</v>
      </c>
      <c r="AJ96" s="3">
        <f t="shared" si="48"/>
        <v>0.2890162954649176</v>
      </c>
      <c r="AK96" s="3">
        <f t="shared" si="49"/>
        <v>-0.5390776699390244</v>
      </c>
      <c r="AL96" s="3">
        <f>-LN(1-AH96)</f>
        <v>0.5301783522818055</v>
      </c>
      <c r="AM96" s="3">
        <f>LOG10(AL96)</f>
        <v>-0.2755780089237309</v>
      </c>
      <c r="AO96" t="s">
        <v>577</v>
      </c>
      <c r="AP96" s="3"/>
      <c r="AQ96" s="3"/>
      <c r="AR96" s="3">
        <f>AVERAGE(AP95:AP96)</f>
        <v>0.03</v>
      </c>
      <c r="AS96" s="3">
        <f>LOG10(AR96)</f>
        <v>-1.5228787452803376</v>
      </c>
      <c r="AT96" s="3">
        <f t="shared" si="51"/>
        <v>0</v>
      </c>
      <c r="AU96" s="3"/>
      <c r="AV96" s="3">
        <f>-LN(1-AR96)</f>
        <v>0.030459207484708574</v>
      </c>
      <c r="AW96" s="3">
        <f>LOG10(AV96)</f>
        <v>-1.5162814007207743</v>
      </c>
    </row>
    <row r="97" spans="2:49" ht="12.75">
      <c r="B97" t="s">
        <v>509</v>
      </c>
      <c r="C97" t="s">
        <v>318</v>
      </c>
      <c r="D97" t="s">
        <v>586</v>
      </c>
      <c r="F97" t="s">
        <v>520</v>
      </c>
      <c r="G97" t="s">
        <v>550</v>
      </c>
      <c r="H97" t="s">
        <v>353</v>
      </c>
      <c r="I97" t="s">
        <v>354</v>
      </c>
      <c r="J97" t="s">
        <v>184</v>
      </c>
      <c r="K97" t="s">
        <v>185</v>
      </c>
      <c r="L97" s="63" t="s">
        <v>317</v>
      </c>
      <c r="M97" s="63" t="s">
        <v>312</v>
      </c>
      <c r="N97" s="72" t="s">
        <v>242</v>
      </c>
      <c r="O97" s="72" t="s">
        <v>312</v>
      </c>
      <c r="P97" s="73" t="s">
        <v>174</v>
      </c>
      <c r="Q97" s="73" t="s">
        <v>175</v>
      </c>
      <c r="R97" s="74" t="s">
        <v>176</v>
      </c>
      <c r="S97" s="75"/>
      <c r="T97" s="75"/>
      <c r="U97" s="75"/>
      <c r="V97" s="63" t="s">
        <v>317</v>
      </c>
      <c r="W97" s="63" t="s">
        <v>312</v>
      </c>
      <c r="X97" s="72" t="s">
        <v>242</v>
      </c>
      <c r="Y97" s="72" t="s">
        <v>312</v>
      </c>
      <c r="Z97" s="73" t="s">
        <v>174</v>
      </c>
      <c r="AA97" s="73" t="s">
        <v>244</v>
      </c>
      <c r="AB97" s="74" t="s">
        <v>497</v>
      </c>
      <c r="AC97" s="93" t="s">
        <v>245</v>
      </c>
      <c r="AE97" s="75"/>
      <c r="AF97" s="63" t="s">
        <v>317</v>
      </c>
      <c r="AG97" s="63" t="s">
        <v>312</v>
      </c>
      <c r="AH97" s="72" t="s">
        <v>242</v>
      </c>
      <c r="AI97" s="72" t="s">
        <v>312</v>
      </c>
      <c r="AJ97" s="73" t="s">
        <v>174</v>
      </c>
      <c r="AK97" s="73" t="s">
        <v>495</v>
      </c>
      <c r="AL97" s="74" t="s">
        <v>496</v>
      </c>
      <c r="AM97" s="92" t="s">
        <v>243</v>
      </c>
      <c r="AO97" s="75"/>
      <c r="AP97" s="63" t="s">
        <v>317</v>
      </c>
      <c r="AQ97" s="63" t="s">
        <v>312</v>
      </c>
      <c r="AR97" s="72" t="s">
        <v>242</v>
      </c>
      <c r="AS97" s="72" t="s">
        <v>312</v>
      </c>
      <c r="AT97" s="73" t="s">
        <v>174</v>
      </c>
      <c r="AU97" s="73" t="s">
        <v>282</v>
      </c>
      <c r="AV97" s="74" t="s">
        <v>283</v>
      </c>
      <c r="AW97" s="92" t="s">
        <v>284</v>
      </c>
    </row>
    <row r="98" spans="2:49" ht="12.75">
      <c r="B98" t="s">
        <v>598</v>
      </c>
      <c r="C98" t="s">
        <v>598</v>
      </c>
      <c r="D98" t="s">
        <v>598</v>
      </c>
      <c r="H98" t="s">
        <v>598</v>
      </c>
      <c r="I98" t="s">
        <v>598</v>
      </c>
      <c r="K98" t="s">
        <v>598</v>
      </c>
      <c r="L98" s="62" t="s">
        <v>598</v>
      </c>
      <c r="M98" s="3"/>
      <c r="N98" s="62" t="s">
        <v>598</v>
      </c>
      <c r="O98" s="3"/>
      <c r="P98" s="62" t="s">
        <v>598</v>
      </c>
      <c r="Q98" s="3"/>
      <c r="R98" s="62" t="s">
        <v>598</v>
      </c>
      <c r="S98" s="3"/>
      <c r="T98" s="3"/>
      <c r="U98" s="3"/>
      <c r="V98" s="62" t="s">
        <v>598</v>
      </c>
      <c r="W98" s="3"/>
      <c r="X98" s="62" t="s">
        <v>598</v>
      </c>
      <c r="Y98" s="3"/>
      <c r="Z98" s="62" t="s">
        <v>598</v>
      </c>
      <c r="AA98" s="3"/>
      <c r="AB98" s="62" t="s">
        <v>598</v>
      </c>
      <c r="AC98" s="3"/>
      <c r="AF98" s="62" t="s">
        <v>598</v>
      </c>
      <c r="AG98" s="3"/>
      <c r="AH98" s="62" t="s">
        <v>598</v>
      </c>
      <c r="AI98" s="3"/>
      <c r="AJ98" s="62" t="s">
        <v>598</v>
      </c>
      <c r="AK98" s="3"/>
      <c r="AL98" s="62" t="s">
        <v>598</v>
      </c>
      <c r="AM98" s="3"/>
      <c r="AP98" s="62" t="s">
        <v>598</v>
      </c>
      <c r="AQ98" s="3"/>
      <c r="AR98" s="62" t="s">
        <v>598</v>
      </c>
      <c r="AS98" s="3"/>
      <c r="AT98" s="62" t="s">
        <v>598</v>
      </c>
      <c r="AU98" s="3"/>
      <c r="AV98" s="62" t="s">
        <v>598</v>
      </c>
      <c r="AW98" s="3"/>
    </row>
    <row r="99" spans="1:49" ht="12.75">
      <c r="A99" s="41" t="s">
        <v>531</v>
      </c>
      <c r="B99" s="3">
        <f>AVERAGE(B4:B96)</f>
        <v>37.46236559139785</v>
      </c>
      <c r="C99" s="3">
        <f>AVERAGE(C4:C96)</f>
        <v>186.5483870967742</v>
      </c>
      <c r="D99" s="3">
        <f>AVERAGE(D4:D96)</f>
        <v>71.38709677419355</v>
      </c>
      <c r="H99" s="3">
        <f>AVERAGE(H4:H96)</f>
        <v>4.403010752688172</v>
      </c>
      <c r="I99" s="3">
        <f>AVERAGE(I4:I96)</f>
        <v>16.095698924731177</v>
      </c>
      <c r="K99" s="3">
        <f>AVERAGE(K4:K96)</f>
        <v>1.1496927803379415</v>
      </c>
      <c r="L99" s="62">
        <f>AVERAGE(L4:L96)</f>
        <v>0.9258999999999995</v>
      </c>
      <c r="M99" s="3"/>
      <c r="N99" s="62">
        <f>AVERAGE(N4:N96)</f>
        <v>0.9287268601190478</v>
      </c>
      <c r="O99" s="3"/>
      <c r="P99" s="62">
        <f>AVERAGE(P4:P96)</f>
        <v>2.947888580525537</v>
      </c>
      <c r="Q99" s="3"/>
      <c r="R99" s="62">
        <f>AVERAGE(R4:R96)</f>
        <v>2.785524657245377</v>
      </c>
      <c r="S99" s="3"/>
      <c r="T99" s="3"/>
      <c r="U99" s="3"/>
      <c r="V99" s="62">
        <f>AVERAGE(V4:V96)</f>
        <v>0.5031863636363633</v>
      </c>
      <c r="W99" s="3"/>
      <c r="X99" s="62">
        <f>AVERAGE(X4:X96)</f>
        <v>0.5246948363095238</v>
      </c>
      <c r="Y99" s="3"/>
      <c r="Z99" s="62">
        <f>AVERAGE(Z4:Z96)</f>
        <v>0.8143508815192525</v>
      </c>
      <c r="AA99" s="3"/>
      <c r="AB99" s="62">
        <f>AVERAGE(AB4:AB96)</f>
        <v>0.789931637007426</v>
      </c>
      <c r="AC99" s="3"/>
      <c r="AF99" s="62">
        <f>AVERAGE(AF4:AF96)</f>
        <v>0.3163440860215054</v>
      </c>
      <c r="AG99" s="3"/>
      <c r="AH99" s="62">
        <f>AVERAGE(AH4:AH96)</f>
        <v>0.32674058123249294</v>
      </c>
      <c r="AI99" s="3"/>
      <c r="AJ99" s="62">
        <f>AVERAGE(AJ4:AJ96)</f>
        <v>0.40167146059390135</v>
      </c>
      <c r="AK99" s="3"/>
      <c r="AL99" s="62">
        <f>AVERAGE(AL4:AL96)</f>
        <v>0.41006197679395784</v>
      </c>
      <c r="AM99" s="3"/>
      <c r="AP99" s="62">
        <f>AVERAGE(AP4:AP96)</f>
        <v>0.11993406593406587</v>
      </c>
      <c r="AQ99" s="3"/>
      <c r="AR99" s="62">
        <f>AVERAGE(AR4:AR96)</f>
        <v>0.08942111344537815</v>
      </c>
      <c r="AS99" s="3"/>
      <c r="AT99" s="62">
        <f>AVERAGE(AT4:AT96)</f>
        <v>0.14254514131149887</v>
      </c>
      <c r="AU99" s="3"/>
      <c r="AV99" s="62">
        <f>AVERAGE(AV4:AV96)</f>
        <v>0.09653808241421451</v>
      </c>
      <c r="AW99" s="3"/>
    </row>
    <row r="100" spans="8:48" ht="12.75">
      <c r="H100" s="5">
        <f>STDEV(H4:H96)</f>
        <v>1.2235770661628338</v>
      </c>
      <c r="L100" s="12" t="s">
        <v>431</v>
      </c>
      <c r="N100" s="12" t="s">
        <v>431</v>
      </c>
      <c r="P100" s="12" t="s">
        <v>431</v>
      </c>
      <c r="R100" s="12" t="s">
        <v>431</v>
      </c>
      <c r="V100" s="12" t="s">
        <v>431</v>
      </c>
      <c r="X100" s="12" t="s">
        <v>431</v>
      </c>
      <c r="Z100" s="12" t="s">
        <v>431</v>
      </c>
      <c r="AB100" s="12" t="s">
        <v>431</v>
      </c>
      <c r="AF100" s="12" t="s">
        <v>431</v>
      </c>
      <c r="AH100" s="12" t="s">
        <v>431</v>
      </c>
      <c r="AJ100" s="12" t="s">
        <v>431</v>
      </c>
      <c r="AL100" s="12" t="s">
        <v>431</v>
      </c>
      <c r="AP100" s="12" t="s">
        <v>431</v>
      </c>
      <c r="AR100" s="12" t="s">
        <v>431</v>
      </c>
      <c r="AT100" s="12" t="s">
        <v>431</v>
      </c>
      <c r="AV100" s="12" t="s">
        <v>431</v>
      </c>
    </row>
    <row r="101" spans="12:48" ht="12.75">
      <c r="L101" s="62">
        <f>STDEV(L4:L96)</f>
        <v>0.06587112236713284</v>
      </c>
      <c r="N101" s="62">
        <f>STDEV(N4:N96)</f>
        <v>0.04702991219897234</v>
      </c>
      <c r="P101" s="62">
        <f>STDEV(P4:P96)</f>
        <v>0.8636727010663474</v>
      </c>
      <c r="R101" s="62">
        <f>STDEV(R4:R96)</f>
        <v>0.5108590162910402</v>
      </c>
      <c r="V101" s="62">
        <f>STDEV(V4:V96)</f>
        <v>0.22125645139334776</v>
      </c>
      <c r="X101" s="62">
        <f>STDEV(X4:X96)</f>
        <v>0.14227001981022608</v>
      </c>
      <c r="Z101" s="62">
        <f>STDEV(Z4:Z96)</f>
        <v>0.48924760355202557</v>
      </c>
      <c r="AB101" s="62">
        <f>STDEV(AB4:AB96)</f>
        <v>0.31621732373509603</v>
      </c>
      <c r="AF101" s="62">
        <f>STDEV(AF4:AF96)</f>
        <v>0.13220705883144876</v>
      </c>
      <c r="AH101" s="62">
        <f>STDEV(AH4:AH96)</f>
        <v>0.10932385773372401</v>
      </c>
      <c r="AJ101" s="62">
        <f>STDEV(AJ4:AJ96)</f>
        <v>0.21625687438555025</v>
      </c>
      <c r="AL101" s="62">
        <f>STDEV(AL4:AL96)</f>
        <v>0.17810170316697432</v>
      </c>
      <c r="AP101" s="62">
        <f>STDEV(AP4:AP96)</f>
        <v>0.14023407433429155</v>
      </c>
      <c r="AR101" s="62">
        <f>STDEV(AR4:AR96)</f>
        <v>0.06747016748603357</v>
      </c>
      <c r="AT101" s="62">
        <f>STDEV(AT4:AT96)</f>
        <v>0.19434901031630325</v>
      </c>
      <c r="AV101" s="62">
        <f>STDEV(AV4:AV96)</f>
        <v>0.07824875300693665</v>
      </c>
    </row>
    <row r="102" spans="12:48" ht="12.75">
      <c r="L102" s="12" t="s">
        <v>126</v>
      </c>
      <c r="N102" s="12" t="s">
        <v>126</v>
      </c>
      <c r="P102" s="12" t="s">
        <v>126</v>
      </c>
      <c r="R102" s="12" t="s">
        <v>126</v>
      </c>
      <c r="V102" s="12" t="s">
        <v>126</v>
      </c>
      <c r="X102" s="12" t="s">
        <v>126</v>
      </c>
      <c r="Z102" s="12" t="s">
        <v>126</v>
      </c>
      <c r="AB102" s="12" t="s">
        <v>126</v>
      </c>
      <c r="AF102" s="12" t="s">
        <v>126</v>
      </c>
      <c r="AH102" s="12" t="s">
        <v>126</v>
      </c>
      <c r="AJ102" s="12" t="s">
        <v>126</v>
      </c>
      <c r="AL102" s="12" t="s">
        <v>126</v>
      </c>
      <c r="AP102" s="12" t="s">
        <v>126</v>
      </c>
      <c r="AR102" s="12" t="s">
        <v>126</v>
      </c>
      <c r="AT102" s="12" t="s">
        <v>126</v>
      </c>
      <c r="AV102" s="12" t="s">
        <v>126</v>
      </c>
    </row>
    <row r="103" spans="12:49" ht="12.75">
      <c r="L103" s="62">
        <f>EXP(SQRT(LN(POWER(L101,2)/POWER(L99,2)+1)))</f>
        <v>1.0736381608544496</v>
      </c>
      <c r="N103" s="62">
        <f>EXP(SQRT(LN(POWER(N101,2)/POWER(N99,2)+1)))</f>
        <v>1.0519090988654312</v>
      </c>
      <c r="O103" s="3"/>
      <c r="P103" s="62">
        <f>EXP(SQRT(LN(POWER(P101,2)/POWER(P99,2)+1)))</f>
        <v>1.3323834318192604</v>
      </c>
      <c r="R103" s="62">
        <f>EXP(SQRT(LN(POWER(R101,2)/POWER(R99,2)+1)))</f>
        <v>1.1994739830688015</v>
      </c>
      <c r="S103" s="3"/>
      <c r="T103" s="3"/>
      <c r="U103" s="3"/>
      <c r="V103" s="62">
        <f>EXP(SQRT(LN(POWER(V101,2)/POWER(V99,2)+1)))</f>
        <v>1.522614973770267</v>
      </c>
      <c r="X103" s="62">
        <f>EXP(SQRT(LN(POWER(X101,2)/POWER(X99,2)+1)))</f>
        <v>1.3051963564968665</v>
      </c>
      <c r="Y103" s="3"/>
      <c r="Z103" s="62">
        <f>EXP(SQRT(LN(POWER(Z101,2)/POWER(Z99,2)+1)))</f>
        <v>1.742176659166799</v>
      </c>
      <c r="AB103" s="62">
        <f>EXP(SQRT(LN(POWER(AB101,2)/POWER(AB99,2)+1)))</f>
        <v>1.4703939840547735</v>
      </c>
      <c r="AC103" s="3"/>
      <c r="AF103" s="62">
        <f>EXP(SQRT(LN(POWER(AF101,2)/POWER(AF99,2)+1)))</f>
        <v>1.493645872290284</v>
      </c>
      <c r="AH103" s="62">
        <f>EXP(SQRT(LN(POWER(AH101,2)/POWER(AH99,2)+1)))</f>
        <v>1.3850734926709358</v>
      </c>
      <c r="AI103" s="3"/>
      <c r="AJ103" s="62">
        <f>EXP(SQRT(LN(POWER(AJ101,2)/POWER(AJ99,2)+1)))</f>
        <v>1.6561874445500488</v>
      </c>
      <c r="AL103" s="62">
        <f>EXP(SQRT(LN(POWER(AL101,2)/POWER(AL99,2)+1)))</f>
        <v>1.5154394330743521</v>
      </c>
      <c r="AM103" s="3"/>
      <c r="AP103" s="62">
        <f>EXP(SQRT(LN(POWER(AP101,2)/POWER(AP99,2)+1)))</f>
        <v>2.5301408748318575</v>
      </c>
      <c r="AR103" s="62">
        <f>EXP(SQRT(LN(POWER(AR101,2)/POWER(AR99,2)+1)))</f>
        <v>1.956761767661338</v>
      </c>
      <c r="AS103" s="3"/>
      <c r="AT103" s="62">
        <f>EXP(SQRT(LN(POWER(AT101,2)/POWER(AT99,2)+1)))</f>
        <v>2.786847514408837</v>
      </c>
      <c r="AV103" s="62">
        <f>EXP(SQRT(LN(POWER(AV101,2)/POWER(AV99,2)+1)))</f>
        <v>2.035282485498931</v>
      </c>
      <c r="AW103" s="3"/>
    </row>
    <row r="104" spans="12:49" ht="12.75">
      <c r="L104" s="12" t="s">
        <v>384</v>
      </c>
      <c r="M104" t="s">
        <v>384</v>
      </c>
      <c r="N104" s="12" t="s">
        <v>384</v>
      </c>
      <c r="O104" t="s">
        <v>384</v>
      </c>
      <c r="P104" s="12" t="s">
        <v>384</v>
      </c>
      <c r="Q104" t="s">
        <v>384</v>
      </c>
      <c r="R104" s="12" t="s">
        <v>384</v>
      </c>
      <c r="S104" t="s">
        <v>384</v>
      </c>
      <c r="V104" s="12" t="s">
        <v>384</v>
      </c>
      <c r="W104" t="s">
        <v>384</v>
      </c>
      <c r="X104" s="12" t="s">
        <v>384</v>
      </c>
      <c r="Y104" t="s">
        <v>384</v>
      </c>
      <c r="Z104" s="12" t="s">
        <v>384</v>
      </c>
      <c r="AA104" t="s">
        <v>384</v>
      </c>
      <c r="AB104" s="12" t="s">
        <v>384</v>
      </c>
      <c r="AC104" t="s">
        <v>384</v>
      </c>
      <c r="AF104" s="12" t="s">
        <v>384</v>
      </c>
      <c r="AG104" t="s">
        <v>384</v>
      </c>
      <c r="AH104" s="12" t="s">
        <v>384</v>
      </c>
      <c r="AI104" t="s">
        <v>384</v>
      </c>
      <c r="AJ104" s="12" t="s">
        <v>384</v>
      </c>
      <c r="AK104" t="s">
        <v>384</v>
      </c>
      <c r="AL104" s="12" t="s">
        <v>384</v>
      </c>
      <c r="AM104" t="s">
        <v>384</v>
      </c>
      <c r="AP104" s="12" t="s">
        <v>384</v>
      </c>
      <c r="AQ104" t="s">
        <v>384</v>
      </c>
      <c r="AR104" s="12" t="s">
        <v>384</v>
      </c>
      <c r="AS104" t="s">
        <v>384</v>
      </c>
      <c r="AT104" s="12" t="s">
        <v>384</v>
      </c>
      <c r="AU104" t="s">
        <v>384</v>
      </c>
      <c r="AV104" s="12" t="s">
        <v>384</v>
      </c>
      <c r="AW104" t="s">
        <v>384</v>
      </c>
    </row>
    <row r="105" spans="12:54" ht="12.75">
      <c r="L105" s="13">
        <f>LOG10(L103)</f>
        <v>0.030857939443747567</v>
      </c>
      <c r="M105" s="94">
        <f>STDEV(M4:M96)</f>
        <v>0.03320970610452121</v>
      </c>
      <c r="N105" s="13">
        <f>LOG10(N103)</f>
        <v>0.02197821171235882</v>
      </c>
      <c r="O105" s="94">
        <f>STDEV(O4:O96)</f>
        <v>0.023584843704623902</v>
      </c>
      <c r="P105" s="13">
        <f>LOG10(P103)</f>
        <v>0.12462922360319204</v>
      </c>
      <c r="Q105" s="94">
        <f>STDEV(Q4:Q96)</f>
        <v>0.13789882133822515</v>
      </c>
      <c r="R105" s="13">
        <f>LOG10(R103)</f>
        <v>0.0789908324354092</v>
      </c>
      <c r="S105" s="178">
        <f>STDEV(S4:S96)</f>
        <v>0.09093659560681355</v>
      </c>
      <c r="T105" s="6"/>
      <c r="U105" s="6"/>
      <c r="V105" s="99">
        <f>LOG10(V103)</f>
        <v>0.18259009643707996</v>
      </c>
      <c r="W105" s="94">
        <f>STDEV(W4:W96)</f>
        <v>0.3202093651323953</v>
      </c>
      <c r="X105" s="99">
        <f>LOG10(X103)</f>
        <v>0.11567585276867648</v>
      </c>
      <c r="Y105" s="94">
        <f>STDEV(Y4:Y96)</f>
        <v>0.134200518086154</v>
      </c>
      <c r="Z105" s="99">
        <f>LOG10(Z103)</f>
        <v>0.24109219097665155</v>
      </c>
      <c r="AA105" s="94">
        <f>STDEV(AA4:AA96)</f>
        <v>0.3989253403507661</v>
      </c>
      <c r="AB105" s="99">
        <f>LOG10(AB103)</f>
        <v>0.1674337171805289</v>
      </c>
      <c r="AC105" s="94">
        <f>STDEV(AC4:AC96)</f>
        <v>0.19088821545530246</v>
      </c>
      <c r="AD105" s="2"/>
      <c r="AE105" s="2"/>
      <c r="AF105" s="99">
        <f>LOG10(AF103)</f>
        <v>0.17424764303463441</v>
      </c>
      <c r="AG105" s="94">
        <f>STDEV(AG4:AG96)</f>
        <v>0.18275036000173173</v>
      </c>
      <c r="AH105" s="99">
        <f>LOG10(AH103)</f>
        <v>0.14147281788758276</v>
      </c>
      <c r="AI105" s="94">
        <f>STDEV(AI4:AI96)</f>
        <v>0.13990591909584532</v>
      </c>
      <c r="AJ105" s="99">
        <f>LOG10(AJ103)</f>
        <v>0.219109487960256</v>
      </c>
      <c r="AK105" s="94">
        <f>STDEV(AK4:AK96)</f>
        <v>0.22394798171699493</v>
      </c>
      <c r="AL105" s="99">
        <f>LOG10(AL103)</f>
        <v>0.18053858378696291</v>
      </c>
      <c r="AM105" s="94">
        <f>STDEV(AM4:AM96)</f>
        <v>0.1745175045766137</v>
      </c>
      <c r="AN105" s="2"/>
      <c r="AO105" s="2"/>
      <c r="AP105" s="99">
        <f>LOG10(AP103)</f>
        <v>0.40314470278010284</v>
      </c>
      <c r="AQ105" s="94">
        <f>STDEV(AQ4:AQ96)</f>
        <v>0.5238193071930795</v>
      </c>
      <c r="AR105" s="99">
        <f>LOG10(AR103)</f>
        <v>0.29153795427933193</v>
      </c>
      <c r="AS105" s="94">
        <f>STDEV(AS4:AS96)</f>
        <v>0.3576461863009411</v>
      </c>
      <c r="AT105" s="99">
        <f>LOG10(AT103)</f>
        <v>0.44511320643754865</v>
      </c>
      <c r="AU105" s="94">
        <f>STDEV(AU4:AU96)</f>
        <v>0.5560553090738986</v>
      </c>
      <c r="AV105" s="99">
        <f>LOG10(AV103)</f>
        <v>0.30862469532007863</v>
      </c>
      <c r="AW105" s="94">
        <f>STDEV(AW4:AW96)</f>
        <v>0.37222494983401055</v>
      </c>
      <c r="AX105" s="2"/>
      <c r="AY105" s="2"/>
      <c r="AZ105" s="2"/>
      <c r="BA105" s="2"/>
      <c r="BB105" s="2"/>
    </row>
    <row r="107" spans="13:49" ht="12.75">
      <c r="M107" s="85" t="s">
        <v>323</v>
      </c>
      <c r="O107" s="85" t="s">
        <v>323</v>
      </c>
      <c r="Q107" s="85" t="s">
        <v>323</v>
      </c>
      <c r="S107" s="85" t="s">
        <v>323</v>
      </c>
      <c r="T107" s="85"/>
      <c r="U107" s="85"/>
      <c r="W107" s="85" t="s">
        <v>323</v>
      </c>
      <c r="X107" t="s">
        <v>519</v>
      </c>
      <c r="Y107" s="85" t="s">
        <v>323</v>
      </c>
      <c r="AA107" s="85" t="s">
        <v>323</v>
      </c>
      <c r="AC107" s="85" t="s">
        <v>323</v>
      </c>
      <c r="AG107" s="85" t="s">
        <v>323</v>
      </c>
      <c r="AH107" t="s">
        <v>519</v>
      </c>
      <c r="AI107" s="85" t="s">
        <v>323</v>
      </c>
      <c r="AK107" s="85" t="s">
        <v>323</v>
      </c>
      <c r="AM107" s="85" t="s">
        <v>323</v>
      </c>
      <c r="AQ107" s="85" t="s">
        <v>323</v>
      </c>
      <c r="AR107" t="s">
        <v>519</v>
      </c>
      <c r="AS107" s="85" t="s">
        <v>323</v>
      </c>
      <c r="AU107" s="85" t="s">
        <v>323</v>
      </c>
      <c r="AW107" s="85" t="s">
        <v>323</v>
      </c>
    </row>
    <row r="108" spans="13:49" ht="12.75">
      <c r="M108" s="86">
        <f>M105/L105</f>
        <v>1.0762126928488143</v>
      </c>
      <c r="O108" s="86">
        <f>O105/N105</f>
        <v>1.073101124572462</v>
      </c>
      <c r="Q108" s="86">
        <f>Q105/P105</f>
        <v>1.1064726021023952</v>
      </c>
      <c r="S108" s="86">
        <f>S105/R105</f>
        <v>1.151229741516807</v>
      </c>
      <c r="T108" s="86"/>
      <c r="U108" s="86"/>
      <c r="W108" s="86">
        <f>W105/V105</f>
        <v>1.7537060956793926</v>
      </c>
      <c r="X108">
        <f>COUNT(X4:X96)</f>
        <v>32</v>
      </c>
      <c r="Y108" s="86">
        <f>Y105/X105</f>
        <v>1.160142889584072</v>
      </c>
      <c r="AA108" s="86">
        <f>AA105/Z105</f>
        <v>1.654658903445777</v>
      </c>
      <c r="AC108" s="86">
        <f>AC105/AB105</f>
        <v>1.140082288500378</v>
      </c>
      <c r="AG108" s="86">
        <f>AG105/AF105</f>
        <v>1.0487967401969809</v>
      </c>
      <c r="AH108">
        <f>COUNT(AH4:AH96)</f>
        <v>34</v>
      </c>
      <c r="AI108" s="86">
        <f>AI105/AH105</f>
        <v>0.9889243826825975</v>
      </c>
      <c r="AK108" s="86">
        <f>AK105/AJ105</f>
        <v>1.022082538742533</v>
      </c>
      <c r="AM108" s="86">
        <f>AM105/AL105</f>
        <v>0.9666493494960936</v>
      </c>
      <c r="AQ108" s="86">
        <f>AQ105/AP105</f>
        <v>1.2993332259627857</v>
      </c>
      <c r="AR108">
        <f>COUNT(AR4:AR96)</f>
        <v>34</v>
      </c>
      <c r="AS108" s="86">
        <f>AS105/AR105</f>
        <v>1.2267568632188066</v>
      </c>
      <c r="AU108" s="86">
        <f>AU105/AT105</f>
        <v>1.2492446888383115</v>
      </c>
      <c r="AW108" s="86">
        <f>AW105/AV105</f>
        <v>1.2060763622560122</v>
      </c>
    </row>
    <row r="110" spans="12:42" ht="18.75">
      <c r="L110" s="91" t="s">
        <v>190</v>
      </c>
      <c r="V110" s="91" t="s">
        <v>54</v>
      </c>
      <c r="AF110" s="91" t="s">
        <v>494</v>
      </c>
      <c r="AP110" s="91" t="s">
        <v>278</v>
      </c>
    </row>
  </sheetData>
  <hyperlinks>
    <hyperlink ref="A99" r:id="rId1" display="桰瑯は⸸瑨m"/>
  </hyperlinks>
  <printOptions/>
  <pageMargins left="0.75" right="0.75" top="1" bottom="1" header="0.5" footer="0.5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5:Z108"/>
  <sheetViews>
    <sheetView workbookViewId="0" topLeftCell="M1">
      <selection activeCell="P5" sqref="P5"/>
    </sheetView>
  </sheetViews>
  <sheetFormatPr defaultColWidth="11.00390625" defaultRowHeight="12"/>
  <sheetData>
    <row r="5" spans="3:22" ht="15.75">
      <c r="C5" s="204" t="s">
        <v>296</v>
      </c>
      <c r="H5" s="204" t="s">
        <v>604</v>
      </c>
      <c r="M5" s="204" t="s">
        <v>605</v>
      </c>
      <c r="Q5" s="204" t="s">
        <v>606</v>
      </c>
      <c r="V5" t="s">
        <v>189</v>
      </c>
    </row>
    <row r="6" spans="1:25" ht="12.75">
      <c r="A6" t="s">
        <v>520</v>
      </c>
      <c r="B6" t="s">
        <v>353</v>
      </c>
      <c r="C6" t="s">
        <v>387</v>
      </c>
      <c r="D6" t="s">
        <v>32</v>
      </c>
      <c r="G6" t="s">
        <v>520</v>
      </c>
      <c r="H6" s="38" t="s">
        <v>387</v>
      </c>
      <c r="I6" t="s">
        <v>32</v>
      </c>
      <c r="L6" t="s">
        <v>520</v>
      </c>
      <c r="M6" s="38" t="s">
        <v>387</v>
      </c>
      <c r="N6" t="s">
        <v>32</v>
      </c>
      <c r="P6" s="38"/>
      <c r="Q6" s="38" t="s">
        <v>387</v>
      </c>
      <c r="R6" t="s">
        <v>32</v>
      </c>
      <c r="Y6" t="s">
        <v>34</v>
      </c>
    </row>
    <row r="7" spans="1:26" ht="12.75">
      <c r="A7" t="s">
        <v>523</v>
      </c>
      <c r="B7">
        <v>1.34</v>
      </c>
      <c r="C7" s="3">
        <v>0.8140000000000001</v>
      </c>
      <c r="D7" s="3">
        <f>-LN(1-C7)</f>
        <v>1.682008605268936</v>
      </c>
      <c r="E7" s="3"/>
      <c r="F7" s="3"/>
      <c r="G7" t="s">
        <v>523</v>
      </c>
      <c r="H7" s="3">
        <v>0.10400000000000001</v>
      </c>
      <c r="I7" s="3">
        <f aca="true" t="shared" si="0" ref="I7:I15">-LN(1-H7)</f>
        <v>0.10981486600720658</v>
      </c>
      <c r="J7" s="3"/>
      <c r="L7" t="s">
        <v>523</v>
      </c>
      <c r="M7" s="3">
        <v>0.199</v>
      </c>
      <c r="N7" s="3">
        <f aca="true" t="shared" si="1" ref="N7:N70">-LN(1-M7)</f>
        <v>0.22189433191377791</v>
      </c>
      <c r="O7" s="3"/>
      <c r="P7" s="3"/>
      <c r="Q7" s="3">
        <v>0.51</v>
      </c>
      <c r="R7" s="3">
        <f aca="true" t="shared" si="2" ref="R7:R70">-LN(1-Q7)</f>
        <v>0.7133498878774648</v>
      </c>
      <c r="V7" t="s">
        <v>296</v>
      </c>
      <c r="W7">
        <v>0.1519</v>
      </c>
      <c r="X7">
        <f>W7^2</f>
        <v>0.02307361</v>
      </c>
      <c r="Y7">
        <v>5</v>
      </c>
      <c r="Z7">
        <f>Y7*X7</f>
        <v>0.11536805</v>
      </c>
    </row>
    <row r="8" spans="1:26" ht="12.75">
      <c r="A8" t="s">
        <v>293</v>
      </c>
      <c r="B8">
        <v>1.82</v>
      </c>
      <c r="C8" s="3">
        <v>0.85</v>
      </c>
      <c r="D8" s="3">
        <f aca="true" t="shared" si="3" ref="D8:D15">-LN(1-C8)</f>
        <v>1.8971199848858813</v>
      </c>
      <c r="E8" s="3"/>
      <c r="F8" s="3"/>
      <c r="G8" t="s">
        <v>293</v>
      </c>
      <c r="H8" s="3">
        <v>0.21</v>
      </c>
      <c r="I8" s="3">
        <f t="shared" si="0"/>
        <v>0.23572233352106983</v>
      </c>
      <c r="J8" s="3"/>
      <c r="L8" t="s">
        <v>293</v>
      </c>
      <c r="M8" s="3">
        <v>0.32</v>
      </c>
      <c r="N8" s="3">
        <f t="shared" si="1"/>
        <v>0.3856624808119848</v>
      </c>
      <c r="O8" s="3"/>
      <c r="P8" s="3"/>
      <c r="Q8" s="3">
        <v>0.32</v>
      </c>
      <c r="R8" s="3">
        <f t="shared" si="2"/>
        <v>0.3856624808119848</v>
      </c>
      <c r="W8">
        <v>0.1257</v>
      </c>
      <c r="X8">
        <f>W8^2</f>
        <v>0.01580049</v>
      </c>
      <c r="Y8">
        <v>19</v>
      </c>
      <c r="Z8">
        <f>Y8*X8</f>
        <v>0.30020931</v>
      </c>
    </row>
    <row r="9" spans="3:26" ht="12.75">
      <c r="C9" s="3"/>
      <c r="D9" s="3"/>
      <c r="E9" s="3"/>
      <c r="F9" s="3"/>
      <c r="H9" s="3"/>
      <c r="I9" s="3"/>
      <c r="J9" s="3"/>
      <c r="M9" s="3"/>
      <c r="N9" s="3"/>
      <c r="O9" s="3"/>
      <c r="P9" s="3"/>
      <c r="Q9" s="3"/>
      <c r="R9" s="3"/>
      <c r="Y9">
        <f>SUM(Y7:Y8)</f>
        <v>24</v>
      </c>
      <c r="Z9">
        <f>SUM(Z7:Z8)</f>
        <v>0.41557736</v>
      </c>
    </row>
    <row r="10" spans="1:26" ht="12.75">
      <c r="A10" t="s">
        <v>576</v>
      </c>
      <c r="B10">
        <v>2.34</v>
      </c>
      <c r="C10" s="3">
        <v>0.742</v>
      </c>
      <c r="D10" s="3">
        <f>-LN(1-C10)</f>
        <v>1.3547956940605197</v>
      </c>
      <c r="E10" s="3">
        <f>LOG(D10)</f>
        <v>0.1318738076590944</v>
      </c>
      <c r="F10" s="3"/>
      <c r="G10" t="s">
        <v>576</v>
      </c>
      <c r="H10" s="3">
        <v>0.013000000000000001</v>
      </c>
      <c r="I10" s="3">
        <f>-LN(1-H10)</f>
        <v>0.013085239548655479</v>
      </c>
      <c r="J10" s="3">
        <f>LOG(I10)</f>
        <v>-1.8832183224160033</v>
      </c>
      <c r="L10" t="s">
        <v>576</v>
      </c>
      <c r="M10" s="3">
        <v>0.168</v>
      </c>
      <c r="N10" s="3">
        <f t="shared" si="1"/>
        <v>0.18392283816092855</v>
      </c>
      <c r="O10" s="3">
        <f>LOG(N10)</f>
        <v>-0.735364339976491</v>
      </c>
      <c r="P10" s="3"/>
      <c r="Q10" s="3">
        <v>0.561</v>
      </c>
      <c r="R10" s="3">
        <f t="shared" si="2"/>
        <v>0.8232558659069658</v>
      </c>
      <c r="S10" s="3">
        <f>LOG(R10)</f>
        <v>-0.08446516614663384</v>
      </c>
      <c r="T10" s="3"/>
      <c r="Z10" s="60">
        <f>SQRT(Z9/Y9)</f>
        <v>0.13158922194972253</v>
      </c>
    </row>
    <row r="11" spans="1:26" ht="12.75">
      <c r="A11" t="s">
        <v>293</v>
      </c>
      <c r="B11">
        <v>2.42</v>
      </c>
      <c r="C11" s="3">
        <v>0.907</v>
      </c>
      <c r="D11" s="3">
        <f t="shared" si="3"/>
        <v>2.3751557858288814</v>
      </c>
      <c r="E11" s="3">
        <f>LOG(D11)</f>
        <v>0.37569210015330373</v>
      </c>
      <c r="F11" s="3"/>
      <c r="G11" t="s">
        <v>293</v>
      </c>
      <c r="H11" s="3">
        <v>0.304</v>
      </c>
      <c r="I11" s="3">
        <f t="shared" si="0"/>
        <v>0.3624056186477174</v>
      </c>
      <c r="J11" s="3">
        <f>LOG(I11)</f>
        <v>-0.44080507774802913</v>
      </c>
      <c r="L11" t="s">
        <v>293</v>
      </c>
      <c r="M11" s="3">
        <v>0.41</v>
      </c>
      <c r="N11" s="3">
        <f t="shared" si="1"/>
        <v>0.5276327420823718</v>
      </c>
      <c r="O11" s="3">
        <f>LOG(N11)</f>
        <v>-0.27766826228319447</v>
      </c>
      <c r="P11" s="3"/>
      <c r="Q11" s="3">
        <v>0.193</v>
      </c>
      <c r="R11" s="3">
        <f t="shared" si="2"/>
        <v>0.21443161071218833</v>
      </c>
      <c r="S11" s="3">
        <f>LOG(R11)</f>
        <v>-0.6687111921792167</v>
      </c>
      <c r="T11" s="3"/>
      <c r="V11" t="s">
        <v>30</v>
      </c>
      <c r="W11">
        <v>0.4965</v>
      </c>
      <c r="X11">
        <f>W11^2</f>
        <v>0.24651225</v>
      </c>
      <c r="Y11">
        <v>5</v>
      </c>
      <c r="Z11">
        <f>Y11*X11</f>
        <v>1.2325612499999998</v>
      </c>
    </row>
    <row r="12" spans="1:26" ht="12.75">
      <c r="A12" t="s">
        <v>287</v>
      </c>
      <c r="B12">
        <v>2.1</v>
      </c>
      <c r="C12" s="3">
        <v>0.883</v>
      </c>
      <c r="D12" s="3">
        <f t="shared" si="3"/>
        <v>2.145581344184381</v>
      </c>
      <c r="E12" s="3"/>
      <c r="F12" s="3"/>
      <c r="G12" t="s">
        <v>287</v>
      </c>
      <c r="H12" s="3">
        <v>0.037000000000000005</v>
      </c>
      <c r="I12" s="3">
        <f t="shared" si="0"/>
        <v>0.03770186718401153</v>
      </c>
      <c r="J12" s="3"/>
      <c r="L12" t="s">
        <v>287</v>
      </c>
      <c r="M12" s="3">
        <v>0.347</v>
      </c>
      <c r="N12" s="3">
        <f t="shared" si="1"/>
        <v>0.42617814970570594</v>
      </c>
      <c r="O12" s="3"/>
      <c r="P12" s="3"/>
      <c r="Q12" s="3">
        <v>0.499</v>
      </c>
      <c r="R12" s="3">
        <f t="shared" si="2"/>
        <v>0.6911491778972723</v>
      </c>
      <c r="S12" s="3"/>
      <c r="T12" s="3"/>
      <c r="W12">
        <v>0.2405</v>
      </c>
      <c r="X12">
        <f>W12^2</f>
        <v>0.057840249999999996</v>
      </c>
      <c r="Y12">
        <v>20</v>
      </c>
      <c r="Z12">
        <f>Y12*X12</f>
        <v>1.1568049999999999</v>
      </c>
    </row>
    <row r="13" spans="1:26" ht="12.75">
      <c r="A13" t="s">
        <v>287</v>
      </c>
      <c r="B13">
        <v>2.84</v>
      </c>
      <c r="C13" s="3">
        <v>0.937</v>
      </c>
      <c r="D13" s="3">
        <f t="shared" si="3"/>
        <v>2.764620552590605</v>
      </c>
      <c r="E13" s="3">
        <f>LOG(AVERAGE(D12:D13))</f>
        <v>0.39006935406644266</v>
      </c>
      <c r="F13" s="3"/>
      <c r="G13" t="s">
        <v>287</v>
      </c>
      <c r="H13" s="3">
        <v>0.157</v>
      </c>
      <c r="I13" s="3">
        <f t="shared" si="0"/>
        <v>0.17078832098028163</v>
      </c>
      <c r="J13" s="3">
        <f>LOG(AVERAGE(I12:I13))</f>
        <v>-0.9819443743703815</v>
      </c>
      <c r="L13" t="s">
        <v>287</v>
      </c>
      <c r="M13" s="3">
        <v>0.507</v>
      </c>
      <c r="N13" s="3">
        <f t="shared" si="1"/>
        <v>0.707246104939447</v>
      </c>
      <c r="O13" s="3">
        <f>LOG(AVERAGE(N12:N13))</f>
        <v>-0.24663749360004053</v>
      </c>
      <c r="P13" s="3"/>
      <c r="Q13" s="3">
        <v>0.273</v>
      </c>
      <c r="R13" s="3">
        <f t="shared" si="2"/>
        <v>0.31882880144861775</v>
      </c>
      <c r="S13" s="3">
        <f>LOG(AVERAGE(R12:R13))</f>
        <v>-0.29671809074552036</v>
      </c>
      <c r="T13" s="3"/>
      <c r="Y13">
        <f>SUM(Y11:Y12)</f>
        <v>25</v>
      </c>
      <c r="Z13">
        <f>SUM(Z11:Z12)</f>
        <v>2.3893662499999997</v>
      </c>
    </row>
    <row r="14" spans="1:26" ht="12.75">
      <c r="A14" t="s">
        <v>289</v>
      </c>
      <c r="B14">
        <v>2.36</v>
      </c>
      <c r="C14" s="3">
        <v>0.894</v>
      </c>
      <c r="D14" s="3">
        <f t="shared" si="3"/>
        <v>2.24431618487007</v>
      </c>
      <c r="E14" s="3"/>
      <c r="F14" s="3"/>
      <c r="G14" t="s">
        <v>289</v>
      </c>
      <c r="H14" s="3">
        <v>0.18</v>
      </c>
      <c r="I14" s="3">
        <f t="shared" si="0"/>
        <v>0.19845093872383818</v>
      </c>
      <c r="J14" s="3"/>
      <c r="L14" t="s">
        <v>289</v>
      </c>
      <c r="M14" s="3">
        <v>0.286</v>
      </c>
      <c r="N14" s="3">
        <f t="shared" si="1"/>
        <v>0.3368723166425527</v>
      </c>
      <c r="O14" s="3"/>
      <c r="P14" s="3"/>
      <c r="Q14" s="3">
        <v>0.428</v>
      </c>
      <c r="R14" s="3">
        <f t="shared" si="2"/>
        <v>0.5586162876023391</v>
      </c>
      <c r="S14" s="3"/>
      <c r="T14" s="3"/>
      <c r="Z14" s="175">
        <f>SQRT(Z13/Y13)</f>
        <v>0.30915150007722747</v>
      </c>
    </row>
    <row r="15" spans="1:26" ht="12.75">
      <c r="A15" t="s">
        <v>289</v>
      </c>
      <c r="B15">
        <v>2.91</v>
      </c>
      <c r="C15" s="3">
        <v>0.963</v>
      </c>
      <c r="D15" s="3">
        <f t="shared" si="3"/>
        <v>3.2968373663379116</v>
      </c>
      <c r="E15" s="3">
        <f>LOG(AVERAGE(D14:D15))</f>
        <v>0.44257018942072535</v>
      </c>
      <c r="F15" s="3"/>
      <c r="G15" t="s">
        <v>289</v>
      </c>
      <c r="H15" s="3">
        <v>0.14</v>
      </c>
      <c r="I15" s="3">
        <f t="shared" si="0"/>
        <v>0.15082288973458366</v>
      </c>
      <c r="J15" s="3">
        <f>LOG(AVERAGE(I14:I15))</f>
        <v>-0.7578639510567383</v>
      </c>
      <c r="L15" t="s">
        <v>289</v>
      </c>
      <c r="M15" s="3">
        <v>0.328</v>
      </c>
      <c r="N15" s="3">
        <f t="shared" si="1"/>
        <v>0.3974969384589876</v>
      </c>
      <c r="O15" s="3">
        <f>LOG(AVERAGE(N14:N15))</f>
        <v>-0.43511550914188246</v>
      </c>
      <c r="P15" s="3"/>
      <c r="Q15" s="3">
        <v>0.493</v>
      </c>
      <c r="R15" s="3">
        <f t="shared" si="2"/>
        <v>0.6792442753909539</v>
      </c>
      <c r="S15" s="3">
        <f>LOG(AVERAGE(R14:R15))</f>
        <v>-0.20835826869645716</v>
      </c>
      <c r="T15" s="3"/>
      <c r="V15" t="s">
        <v>29</v>
      </c>
      <c r="W15">
        <v>0.1946</v>
      </c>
      <c r="X15">
        <f>W15^2</f>
        <v>0.03786916</v>
      </c>
      <c r="Y15">
        <v>5</v>
      </c>
      <c r="Z15">
        <f>Y15*X15</f>
        <v>0.1893458</v>
      </c>
    </row>
    <row r="16" spans="1:26" ht="12.75">
      <c r="A16" t="s">
        <v>523</v>
      </c>
      <c r="B16">
        <v>2.04</v>
      </c>
      <c r="C16" s="3">
        <v>0.7759999999999999</v>
      </c>
      <c r="D16" s="3">
        <f>-LN(1-C16)</f>
        <v>1.4961092271270968</v>
      </c>
      <c r="E16" s="3">
        <f>LOG(D16)</f>
        <v>0.17496330142076366</v>
      </c>
      <c r="F16" s="162" t="s">
        <v>33</v>
      </c>
      <c r="G16" t="s">
        <v>523</v>
      </c>
      <c r="H16" s="3">
        <v>0.121</v>
      </c>
      <c r="I16" s="3">
        <f>-LN(1-H16)</f>
        <v>0.12897038129696006</v>
      </c>
      <c r="J16" s="3">
        <f>LOG(I16)</f>
        <v>-0.889510016183173</v>
      </c>
      <c r="K16" s="162" t="s">
        <v>33</v>
      </c>
      <c r="L16" t="s">
        <v>523</v>
      </c>
      <c r="M16" s="3">
        <v>0.223</v>
      </c>
      <c r="N16" s="3">
        <f t="shared" si="1"/>
        <v>0.25231492861448956</v>
      </c>
      <c r="O16" s="3"/>
      <c r="P16" s="162" t="s">
        <v>33</v>
      </c>
      <c r="Q16" s="3">
        <v>0.432</v>
      </c>
      <c r="R16" s="3">
        <f t="shared" si="2"/>
        <v>0.5656338602609856</v>
      </c>
      <c r="S16" s="3"/>
      <c r="T16" s="162" t="s">
        <v>33</v>
      </c>
      <c r="W16">
        <v>0.189</v>
      </c>
      <c r="X16">
        <f>W16^2</f>
        <v>0.035721</v>
      </c>
      <c r="Y16">
        <v>21</v>
      </c>
      <c r="Z16">
        <f>Y16*X16</f>
        <v>0.7501410000000001</v>
      </c>
    </row>
    <row r="17" spans="1:26" ht="12.75">
      <c r="A17" t="s">
        <v>523</v>
      </c>
      <c r="B17">
        <v>2.46</v>
      </c>
      <c r="C17" s="3"/>
      <c r="D17" s="3"/>
      <c r="E17" s="3"/>
      <c r="F17" s="161" t="s">
        <v>341</v>
      </c>
      <c r="G17" t="s">
        <v>523</v>
      </c>
      <c r="H17" s="3"/>
      <c r="I17" s="3"/>
      <c r="J17" s="3"/>
      <c r="K17" s="161" t="s">
        <v>341</v>
      </c>
      <c r="L17" t="s">
        <v>523</v>
      </c>
      <c r="M17" s="3">
        <v>0.454</v>
      </c>
      <c r="N17" s="3">
        <f t="shared" si="1"/>
        <v>0.6051363032372319</v>
      </c>
      <c r="O17" s="3">
        <f>LOG(AVERAGE(N16:N17))</f>
        <v>-0.36782056705411176</v>
      </c>
      <c r="P17" s="161" t="s">
        <v>341</v>
      </c>
      <c r="Q17" s="3">
        <v>0.234</v>
      </c>
      <c r="R17" s="3">
        <f t="shared" si="2"/>
        <v>0.2665731092415457</v>
      </c>
      <c r="S17" s="3">
        <f>LOG(AVERAGE(R16:R17))</f>
        <v>-0.38079864709600175</v>
      </c>
      <c r="T17" s="161" t="s">
        <v>341</v>
      </c>
      <c r="Y17">
        <f>SUM(Y15:Y16)</f>
        <v>26</v>
      </c>
      <c r="Z17">
        <f>SUM(Z15:Z16)</f>
        <v>0.9394868000000001</v>
      </c>
    </row>
    <row r="18" spans="1:26" ht="12.75">
      <c r="A18" t="s">
        <v>526</v>
      </c>
      <c r="B18">
        <v>2.59</v>
      </c>
      <c r="C18" s="3">
        <v>0.7090000000000001</v>
      </c>
      <c r="D18" s="3">
        <f>-LN(1-C18)</f>
        <v>1.2344320118106449</v>
      </c>
      <c r="E18" s="3">
        <f>LOG(D18)</f>
        <v>0.0914671755084731</v>
      </c>
      <c r="F18" s="178">
        <f>STDEV(E10:E18)</f>
        <v>0.15187031454726718</v>
      </c>
      <c r="G18" t="s">
        <v>526</v>
      </c>
      <c r="H18" s="3">
        <v>0.18</v>
      </c>
      <c r="I18" s="3">
        <f>-LN(1-H18)</f>
        <v>0.19845093872383818</v>
      </c>
      <c r="J18" s="3">
        <f>LOG(I18)</f>
        <v>-0.7023468424276733</v>
      </c>
      <c r="K18" s="178">
        <f>STDEV(J10:J18)</f>
        <v>0.4965433485273175</v>
      </c>
      <c r="L18" t="s">
        <v>526</v>
      </c>
      <c r="M18" s="3">
        <v>0.212</v>
      </c>
      <c r="N18" s="3">
        <f t="shared" si="1"/>
        <v>0.2382571891242579</v>
      </c>
      <c r="O18" s="3">
        <f>LOG(N18)</f>
        <v>-0.6229539861780298</v>
      </c>
      <c r="P18" s="178">
        <f>STDEV(O10:O18)</f>
        <v>0.19459736918120457</v>
      </c>
      <c r="Q18" s="3">
        <v>0.317</v>
      </c>
      <c r="R18" s="3">
        <f t="shared" si="2"/>
        <v>0.3812604194113469</v>
      </c>
      <c r="S18" s="3">
        <f>LOG(R18)</f>
        <v>-0.4187782787113367</v>
      </c>
      <c r="T18" s="178">
        <f>STDEV(S10:S18)</f>
        <v>0.20018468091685016</v>
      </c>
      <c r="Z18" s="202">
        <f>SQRT(Z17/Y17)</f>
        <v>0.19008973589415</v>
      </c>
    </row>
    <row r="19" spans="3:26" ht="12.75">
      <c r="C19" s="3"/>
      <c r="D19" s="3"/>
      <c r="E19" s="3"/>
      <c r="F19" s="3"/>
      <c r="H19" s="3"/>
      <c r="I19" s="3"/>
      <c r="J19" s="3"/>
      <c r="M19" s="3"/>
      <c r="N19" s="3"/>
      <c r="O19" s="3"/>
      <c r="P19" s="3"/>
      <c r="Q19" s="3"/>
      <c r="R19" s="3"/>
      <c r="V19" t="s">
        <v>31</v>
      </c>
      <c r="W19">
        <v>0.2002</v>
      </c>
      <c r="X19">
        <f>W19^2</f>
        <v>0.04008004</v>
      </c>
      <c r="Y19">
        <v>5</v>
      </c>
      <c r="Z19">
        <f>Y19*X19</f>
        <v>0.20040019999999997</v>
      </c>
    </row>
    <row r="20" spans="1:26" ht="12.75">
      <c r="A20" t="s">
        <v>292</v>
      </c>
      <c r="B20">
        <v>3.76</v>
      </c>
      <c r="C20" s="3">
        <v>0.737</v>
      </c>
      <c r="D20" s="3">
        <f>-LN(1-C20)</f>
        <v>1.3356012468043725</v>
      </c>
      <c r="E20" s="3">
        <f>LOG(D20)</f>
        <v>0.1256768158031225</v>
      </c>
      <c r="F20" s="3"/>
      <c r="G20" t="s">
        <v>292</v>
      </c>
      <c r="H20" s="3">
        <v>0.20800000000000002</v>
      </c>
      <c r="I20" s="3">
        <f>-LN(1-H20)</f>
        <v>0.23319388716771117</v>
      </c>
      <c r="J20" s="3">
        <f>LOG(I20)</f>
        <v>-0.6322828381502746</v>
      </c>
      <c r="L20" t="s">
        <v>292</v>
      </c>
      <c r="M20" s="3">
        <v>0.467</v>
      </c>
      <c r="N20" s="3">
        <f t="shared" si="1"/>
        <v>0.6292338548162927</v>
      </c>
      <c r="O20" s="3">
        <f>LOG(N20)</f>
        <v>-0.20118791897252494</v>
      </c>
      <c r="P20" s="3"/>
      <c r="Q20" s="3">
        <v>0.082</v>
      </c>
      <c r="R20" s="3">
        <f t="shared" si="2"/>
        <v>0.08555788836164653</v>
      </c>
      <c r="S20" s="3">
        <f>LOG(R20)</f>
        <v>-1.0677399427096919</v>
      </c>
      <c r="T20" s="3"/>
      <c r="W20">
        <v>0.3175</v>
      </c>
      <c r="X20">
        <f>W20^2</f>
        <v>0.10080625</v>
      </c>
      <c r="Y20">
        <v>21</v>
      </c>
      <c r="Z20">
        <f>Y20*X20</f>
        <v>2.11693125</v>
      </c>
    </row>
    <row r="21" spans="1:26" ht="12.75">
      <c r="A21" t="s">
        <v>527</v>
      </c>
      <c r="B21">
        <v>3.68</v>
      </c>
      <c r="C21" s="3">
        <v>0.6970000000000001</v>
      </c>
      <c r="D21" s="3">
        <f>-LN(1-C21)</f>
        <v>1.194022473472768</v>
      </c>
      <c r="E21" s="3"/>
      <c r="F21" s="3"/>
      <c r="G21" t="s">
        <v>527</v>
      </c>
      <c r="H21" s="3">
        <v>0.137</v>
      </c>
      <c r="I21" s="3">
        <f aca="true" t="shared" si="4" ref="I21:I52">-LN(1-H21)</f>
        <v>0.14734058789870913</v>
      </c>
      <c r="J21" s="3"/>
      <c r="L21" t="s">
        <v>527</v>
      </c>
      <c r="M21" s="3">
        <v>0.442</v>
      </c>
      <c r="N21" s="3">
        <f t="shared" si="1"/>
        <v>0.583396316600826</v>
      </c>
      <c r="O21" s="3"/>
      <c r="P21" s="3"/>
      <c r="Q21" s="3">
        <v>0.118</v>
      </c>
      <c r="R21" s="3">
        <f t="shared" si="2"/>
        <v>0.12556322297534575</v>
      </c>
      <c r="S21" s="3"/>
      <c r="T21" s="3"/>
      <c r="Y21">
        <f>SUM(Y19:Y20)</f>
        <v>26</v>
      </c>
      <c r="Z21">
        <f>SUM(Z19:Z20)</f>
        <v>2.3173314499999997</v>
      </c>
    </row>
    <row r="22" spans="1:26" ht="12.75">
      <c r="A22" t="s">
        <v>527</v>
      </c>
      <c r="B22">
        <v>3.9</v>
      </c>
      <c r="C22" s="3">
        <v>0.9209999999999999</v>
      </c>
      <c r="D22" s="3">
        <f aca="true" t="shared" si="5" ref="D22:D29">-LN(1-C22)</f>
        <v>2.5383074265151144</v>
      </c>
      <c r="E22" s="3">
        <f>LOG(AVERAGE(D21:D22))</f>
        <v>0.27095002832049186</v>
      </c>
      <c r="F22" s="3"/>
      <c r="G22" t="s">
        <v>527</v>
      </c>
      <c r="H22" s="3">
        <v>0.642</v>
      </c>
      <c r="I22" s="3">
        <f aca="true" t="shared" si="6" ref="I22:I31">-LN(1-H22)</f>
        <v>1.027222292581437</v>
      </c>
      <c r="J22" s="3">
        <f>LOG(AVERAGE(I21:I22))</f>
        <v>-0.23115372387811592</v>
      </c>
      <c r="L22" t="s">
        <v>527</v>
      </c>
      <c r="M22" s="3">
        <v>0.187</v>
      </c>
      <c r="N22" s="3">
        <f t="shared" si="1"/>
        <v>0.20702416943432655</v>
      </c>
      <c r="O22" s="3">
        <f>LOG(AVERAGE(N21:N22))</f>
        <v>-0.40317180793976565</v>
      </c>
      <c r="P22" s="3"/>
      <c r="Q22" s="3">
        <v>0.092</v>
      </c>
      <c r="R22" s="3">
        <f t="shared" si="2"/>
        <v>0.09651090038084373</v>
      </c>
      <c r="S22" s="3">
        <f>LOG(AVERAGE(R21:R22))</f>
        <v>-0.954532039269207</v>
      </c>
      <c r="T22" s="3"/>
      <c r="Z22" s="203">
        <f>SQRT(Z21/Y21)</f>
        <v>0.29854335144549393</v>
      </c>
    </row>
    <row r="23" spans="1:20" ht="12.75">
      <c r="A23" t="s">
        <v>575</v>
      </c>
      <c r="B23">
        <v>3.63</v>
      </c>
      <c r="C23" s="3">
        <v>0.897</v>
      </c>
      <c r="D23" s="3">
        <f t="shared" si="5"/>
        <v>2.2730262907525014</v>
      </c>
      <c r="E23" s="3">
        <f>LOG(D23)</f>
        <v>0.35660445898176973</v>
      </c>
      <c r="F23" s="3"/>
      <c r="G23" t="s">
        <v>575</v>
      </c>
      <c r="H23" s="3">
        <v>0.387</v>
      </c>
      <c r="I23" s="3">
        <f t="shared" si="6"/>
        <v>0.48939034304592566</v>
      </c>
      <c r="J23" s="3">
        <f>LOG(I23)</f>
        <v>-0.31034460466801617</v>
      </c>
      <c r="L23" t="s">
        <v>575</v>
      </c>
      <c r="M23" s="3">
        <v>0.294</v>
      </c>
      <c r="N23" s="3">
        <f t="shared" si="1"/>
        <v>0.348140041488895</v>
      </c>
      <c r="O23" s="3">
        <f>LOG(N23)</f>
        <v>-0.4582460232609914</v>
      </c>
      <c r="P23" s="3"/>
      <c r="Q23" s="3">
        <v>0.196</v>
      </c>
      <c r="R23" s="3">
        <f t="shared" si="2"/>
        <v>0.21815600980317063</v>
      </c>
      <c r="S23" s="3">
        <f>LOG(R23)</f>
        <v>-0.6612328184855348</v>
      </c>
      <c r="T23" s="3"/>
    </row>
    <row r="24" spans="1:20" ht="12.75">
      <c r="A24" t="s">
        <v>574</v>
      </c>
      <c r="B24">
        <v>3.76</v>
      </c>
      <c r="C24" s="3">
        <v>0.9179999999999999</v>
      </c>
      <c r="D24" s="3">
        <f t="shared" si="5"/>
        <v>2.501036031717883</v>
      </c>
      <c r="E24" s="3">
        <f>LOG(D24)</f>
        <v>0.39811994853319294</v>
      </c>
      <c r="F24" s="3"/>
      <c r="G24" t="s">
        <v>574</v>
      </c>
      <c r="H24" s="3">
        <v>0.5770000000000001</v>
      </c>
      <c r="I24" s="3">
        <f t="shared" si="6"/>
        <v>0.8603830999358593</v>
      </c>
      <c r="J24" s="3">
        <f>LOG(I24)</f>
        <v>-0.06530812882465374</v>
      </c>
      <c r="L24" t="s">
        <v>574</v>
      </c>
      <c r="M24" s="3">
        <v>0.231</v>
      </c>
      <c r="N24" s="3">
        <f t="shared" si="1"/>
        <v>0.26266430947649305</v>
      </c>
      <c r="O24" s="3">
        <f>LOG(N24)</f>
        <v>-0.5805989346385284</v>
      </c>
      <c r="P24" s="3"/>
      <c r="Q24" s="3">
        <v>0.072</v>
      </c>
      <c r="R24" s="3">
        <f t="shared" si="2"/>
        <v>0.07472354619593644</v>
      </c>
      <c r="S24" s="3">
        <f>LOG(R24)</f>
        <v>-1.1265425257396622</v>
      </c>
      <c r="T24" s="3"/>
    </row>
    <row r="25" spans="1:20" ht="12.75">
      <c r="A25" t="s">
        <v>521</v>
      </c>
      <c r="B25">
        <v>3.02</v>
      </c>
      <c r="C25" s="3">
        <v>0.909</v>
      </c>
      <c r="D25" s="3">
        <f t="shared" si="5"/>
        <v>2.3968957724652875</v>
      </c>
      <c r="E25" s="3">
        <f>LOG(D25)</f>
        <v>0.3796491494164892</v>
      </c>
      <c r="F25" s="3"/>
      <c r="G25" t="s">
        <v>521</v>
      </c>
      <c r="H25" s="3">
        <v>0.475</v>
      </c>
      <c r="I25" s="3">
        <f t="shared" si="6"/>
        <v>0.6443570163905132</v>
      </c>
      <c r="J25" s="3">
        <f>LOG(I25)</f>
        <v>-0.19087343809613663</v>
      </c>
      <c r="L25" t="s">
        <v>521</v>
      </c>
      <c r="M25" s="3">
        <v>0.299</v>
      </c>
      <c r="N25" s="3">
        <f t="shared" si="1"/>
        <v>0.35524739194754684</v>
      </c>
      <c r="O25" s="3">
        <f>LOG(N25)</f>
        <v>-0.44946910176628196</v>
      </c>
      <c r="P25" s="3"/>
      <c r="Q25" s="3">
        <v>0.135</v>
      </c>
      <c r="R25" s="3">
        <f t="shared" si="2"/>
        <v>0.14502577205025774</v>
      </c>
      <c r="S25" s="3">
        <f>LOG(R25)</f>
        <v>-0.8385548138708863</v>
      </c>
      <c r="T25" s="3"/>
    </row>
    <row r="26" spans="1:20" ht="12.75">
      <c r="A26" t="s">
        <v>576</v>
      </c>
      <c r="B26">
        <v>3.22</v>
      </c>
      <c r="C26" s="3">
        <v>0.7909999999999999</v>
      </c>
      <c r="D26" s="3">
        <f t="shared" si="5"/>
        <v>1.5654210270173257</v>
      </c>
      <c r="E26" s="3"/>
      <c r="F26" s="3"/>
      <c r="G26" t="s">
        <v>576</v>
      </c>
      <c r="H26" s="3">
        <v>0.32739999999999997</v>
      </c>
      <c r="I26" s="3">
        <f t="shared" si="6"/>
        <v>0.3966044796759677</v>
      </c>
      <c r="J26" s="3"/>
      <c r="L26" t="s">
        <v>576</v>
      </c>
      <c r="M26" s="3">
        <v>0.283</v>
      </c>
      <c r="N26" s="3">
        <f t="shared" si="1"/>
        <v>0.33267943838251657</v>
      </c>
      <c r="O26" s="3"/>
      <c r="P26" s="3"/>
      <c r="Q26" s="3">
        <v>0.181</v>
      </c>
      <c r="R26" s="3">
        <f t="shared" si="2"/>
        <v>0.19967119512906767</v>
      </c>
      <c r="S26" s="3"/>
      <c r="T26" s="3"/>
    </row>
    <row r="27" spans="1:20" ht="12.75">
      <c r="A27" t="s">
        <v>576</v>
      </c>
      <c r="B27">
        <v>3.66</v>
      </c>
      <c r="C27" s="3">
        <v>0.94</v>
      </c>
      <c r="D27" s="3">
        <f t="shared" si="5"/>
        <v>2.8134107167600355</v>
      </c>
      <c r="E27" s="3">
        <f>LOG(AVERAGE(D26:D27))</f>
        <v>0.34032826212167555</v>
      </c>
      <c r="F27" s="3"/>
      <c r="G27" t="s">
        <v>576</v>
      </c>
      <c r="H27" s="3">
        <v>0.449</v>
      </c>
      <c r="I27" s="3">
        <f t="shared" si="6"/>
        <v>0.5960204698292226</v>
      </c>
      <c r="J27" s="3">
        <f>LOG(AVERAGE(I26:I27))</f>
        <v>-0.30424480872746446</v>
      </c>
      <c r="L27" t="s">
        <v>576</v>
      </c>
      <c r="M27" s="3">
        <v>0.393</v>
      </c>
      <c r="N27" s="3">
        <f t="shared" si="1"/>
        <v>0.4992264879226388</v>
      </c>
      <c r="O27" s="3">
        <f>LOG(AVERAGE(N26:N27))</f>
        <v>-0.3809557775421277</v>
      </c>
      <c r="P27" s="3"/>
      <c r="Q27" s="3">
        <v>0.098</v>
      </c>
      <c r="R27" s="3">
        <f t="shared" si="2"/>
        <v>0.10314075891951335</v>
      </c>
      <c r="S27" s="3">
        <f>LOG(AVERAGE(R26:R27))</f>
        <v>-0.819856979938785</v>
      </c>
      <c r="T27" s="3"/>
    </row>
    <row r="28" spans="1:20" ht="12.75">
      <c r="A28" t="s">
        <v>286</v>
      </c>
      <c r="B28">
        <v>3.74</v>
      </c>
      <c r="C28" s="3">
        <v>0.8220000000000001</v>
      </c>
      <c r="D28" s="3">
        <f t="shared" si="5"/>
        <v>1.7259717286900522</v>
      </c>
      <c r="E28" s="3">
        <f aca="true" t="shared" si="7" ref="E28:E33">LOG(D28)</f>
        <v>0.23703367772075334</v>
      </c>
      <c r="F28" s="3"/>
      <c r="G28" t="s">
        <v>286</v>
      </c>
      <c r="H28" s="3">
        <v>0.262</v>
      </c>
      <c r="I28" s="3">
        <f t="shared" si="6"/>
        <v>0.30381145438166457</v>
      </c>
      <c r="J28" s="3">
        <f aca="true" t="shared" si="8" ref="J28:J37">LOG(I28)</f>
        <v>-0.5173958562764814</v>
      </c>
      <c r="L28" t="s">
        <v>286</v>
      </c>
      <c r="M28" s="3">
        <v>0.258</v>
      </c>
      <c r="N28" s="3">
        <f t="shared" si="1"/>
        <v>0.2984060358147566</v>
      </c>
      <c r="O28" s="3">
        <f aca="true" t="shared" si="9" ref="O28:O37">LOG(N28)</f>
        <v>-0.5251923967002673</v>
      </c>
      <c r="P28" s="3"/>
      <c r="Q28" s="3">
        <v>0.302</v>
      </c>
      <c r="R28" s="3">
        <f t="shared" si="2"/>
        <v>0.3595361762197646</v>
      </c>
      <c r="S28" s="3">
        <f aca="true" t="shared" si="10" ref="S28:S37">LOG(R28)</f>
        <v>-0.4442574047465421</v>
      </c>
      <c r="T28" s="3"/>
    </row>
    <row r="29" spans="1:20" ht="12.75">
      <c r="A29" t="s">
        <v>528</v>
      </c>
      <c r="B29">
        <v>3.41</v>
      </c>
      <c r="C29" s="3">
        <v>0.9540000000000001</v>
      </c>
      <c r="D29" s="3">
        <f t="shared" si="5"/>
        <v>3.0791138824930435</v>
      </c>
      <c r="E29" s="3">
        <f t="shared" si="7"/>
        <v>0.4884257517884462</v>
      </c>
      <c r="F29" s="3"/>
      <c r="G29" t="s">
        <v>528</v>
      </c>
      <c r="H29" s="3">
        <v>0.321</v>
      </c>
      <c r="I29" s="3">
        <f t="shared" si="6"/>
        <v>0.3871341514234408</v>
      </c>
      <c r="J29" s="3">
        <f t="shared" si="8"/>
        <v>-0.4121385152722865</v>
      </c>
      <c r="L29" t="s">
        <v>528</v>
      </c>
      <c r="M29" s="3">
        <v>0.443</v>
      </c>
      <c r="N29" s="3">
        <f t="shared" si="1"/>
        <v>0.5851900390548531</v>
      </c>
      <c r="O29" s="3">
        <f t="shared" si="9"/>
        <v>-0.23270307492596373</v>
      </c>
      <c r="P29" s="3"/>
      <c r="Q29" s="3">
        <v>0.19</v>
      </c>
      <c r="R29" s="3">
        <f t="shared" si="2"/>
        <v>0.21072103131565253</v>
      </c>
      <c r="S29" s="3">
        <f t="shared" si="10"/>
        <v>-0.6762921168431828</v>
      </c>
      <c r="T29" s="3"/>
    </row>
    <row r="30" spans="1:20" ht="12.75">
      <c r="A30" t="s">
        <v>291</v>
      </c>
      <c r="B30">
        <v>3.8</v>
      </c>
      <c r="C30" s="3">
        <v>0.9670000000000001</v>
      </c>
      <c r="D30" s="3">
        <f>-LN(1-C30)</f>
        <v>3.4112477175156593</v>
      </c>
      <c r="E30" s="3">
        <f t="shared" si="7"/>
        <v>0.5329132580892579</v>
      </c>
      <c r="F30" s="3"/>
      <c r="G30" t="s">
        <v>291</v>
      </c>
      <c r="H30" s="3">
        <v>0.537</v>
      </c>
      <c r="I30" s="3">
        <f t="shared" si="4"/>
        <v>0.7700282248959031</v>
      </c>
      <c r="J30" s="3">
        <f t="shared" si="8"/>
        <v>-0.1134933557471452</v>
      </c>
      <c r="L30" t="s">
        <v>291</v>
      </c>
      <c r="M30" s="3">
        <v>0.331</v>
      </c>
      <c r="N30" s="3">
        <f t="shared" si="1"/>
        <v>0.4019712188539085</v>
      </c>
      <c r="O30" s="3">
        <f t="shared" si="9"/>
        <v>-0.3958050412946385</v>
      </c>
      <c r="P30" s="3"/>
      <c r="Q30" s="3">
        <v>0.099</v>
      </c>
      <c r="R30" s="3">
        <f t="shared" si="2"/>
        <v>0.1042500213737991</v>
      </c>
      <c r="S30" s="3">
        <f t="shared" si="10"/>
        <v>-0.9819238473132259</v>
      </c>
      <c r="T30" s="3"/>
    </row>
    <row r="31" spans="1:20" ht="12.75">
      <c r="A31" t="s">
        <v>288</v>
      </c>
      <c r="B31">
        <v>3.78</v>
      </c>
      <c r="C31" s="3">
        <v>0.835</v>
      </c>
      <c r="D31" s="3">
        <f>-LN(1-C31)</f>
        <v>1.801809805081556</v>
      </c>
      <c r="E31" s="3">
        <f t="shared" si="7"/>
        <v>0.25570894593106963</v>
      </c>
      <c r="F31" s="3"/>
      <c r="G31" t="s">
        <v>288</v>
      </c>
      <c r="H31" s="3">
        <v>0.32</v>
      </c>
      <c r="I31" s="3">
        <f t="shared" si="6"/>
        <v>0.3856624808119848</v>
      </c>
      <c r="J31" s="3">
        <f t="shared" si="8"/>
        <v>-0.41379260943288027</v>
      </c>
      <c r="L31" t="s">
        <v>288</v>
      </c>
      <c r="M31" s="3">
        <v>0.237</v>
      </c>
      <c r="N31" s="3">
        <f t="shared" si="1"/>
        <v>0.27049724769768</v>
      </c>
      <c r="O31" s="3">
        <f t="shared" si="9"/>
        <v>-0.5678371494697637</v>
      </c>
      <c r="P31" s="3"/>
      <c r="Q31" s="3">
        <v>0.278</v>
      </c>
      <c r="R31" s="3">
        <f t="shared" si="2"/>
        <v>0.32573014008931084</v>
      </c>
      <c r="S31" s="3">
        <f t="shared" si="10"/>
        <v>-0.4871420539348086</v>
      </c>
      <c r="T31" s="3"/>
    </row>
    <row r="32" spans="1:20" ht="12.75">
      <c r="A32" t="s">
        <v>355</v>
      </c>
      <c r="B32">
        <v>3.52</v>
      </c>
      <c r="C32" s="3">
        <v>0.9279999999999999</v>
      </c>
      <c r="D32" s="3">
        <f>-LN(1-C32)</f>
        <v>2.631089159966081</v>
      </c>
      <c r="E32" s="3">
        <f t="shared" si="7"/>
        <v>0.4201355653130635</v>
      </c>
      <c r="F32" s="3"/>
      <c r="G32" t="s">
        <v>355</v>
      </c>
      <c r="H32" s="3">
        <v>0.544</v>
      </c>
      <c r="I32" s="3">
        <f t="shared" si="4"/>
        <v>0.785262469467751</v>
      </c>
      <c r="J32" s="3">
        <f t="shared" si="8"/>
        <v>-0.10498515855500413</v>
      </c>
      <c r="L32" t="s">
        <v>355</v>
      </c>
      <c r="M32" s="3">
        <v>0.288</v>
      </c>
      <c r="N32" s="3">
        <f t="shared" si="1"/>
        <v>0.3396773675701613</v>
      </c>
      <c r="O32" s="3">
        <f t="shared" si="9"/>
        <v>-0.46893338885807784</v>
      </c>
      <c r="P32" s="3"/>
      <c r="Q32" s="3">
        <v>0.096</v>
      </c>
      <c r="R32" s="3">
        <f t="shared" si="2"/>
        <v>0.10092591858996051</v>
      </c>
      <c r="S32" s="3">
        <f t="shared" si="10"/>
        <v>-0.9959972891137294</v>
      </c>
      <c r="T32" s="3"/>
    </row>
    <row r="33" spans="1:20" ht="12.75">
      <c r="A33" t="s">
        <v>293</v>
      </c>
      <c r="B33">
        <v>3.56</v>
      </c>
      <c r="C33" s="3">
        <v>0.991</v>
      </c>
      <c r="D33" s="3">
        <f>-LN(1-C33)</f>
        <v>4.710530701645917</v>
      </c>
      <c r="E33" s="3">
        <f t="shared" si="7"/>
        <v>0.6730698387239202</v>
      </c>
      <c r="F33" s="3"/>
      <c r="G33" t="s">
        <v>293</v>
      </c>
      <c r="H33" s="3">
        <v>0.752</v>
      </c>
      <c r="I33" s="3">
        <f t="shared" si="4"/>
        <v>1.3943265328171548</v>
      </c>
      <c r="J33" s="3">
        <f t="shared" si="8"/>
        <v>0.1443644916918169</v>
      </c>
      <c r="L33" t="s">
        <v>293</v>
      </c>
      <c r="M33" s="3">
        <v>0.213</v>
      </c>
      <c r="N33" s="3">
        <f t="shared" si="1"/>
        <v>0.23952703056473382</v>
      </c>
      <c r="O33" s="3">
        <f t="shared" si="9"/>
        <v>-0.6206454694615373</v>
      </c>
      <c r="P33" s="3"/>
      <c r="Q33" s="3">
        <v>0.026</v>
      </c>
      <c r="R33" s="3">
        <f t="shared" si="2"/>
        <v>0.026343975339601977</v>
      </c>
      <c r="S33" s="3">
        <f t="shared" si="10"/>
        <v>-1.5793186888357704</v>
      </c>
      <c r="T33" s="3"/>
    </row>
    <row r="34" spans="1:20" ht="12.75">
      <c r="A34" t="s">
        <v>287</v>
      </c>
      <c r="B34">
        <v>3.6</v>
      </c>
      <c r="C34" s="3"/>
      <c r="D34" s="3"/>
      <c r="E34" s="3"/>
      <c r="F34" s="3"/>
      <c r="G34" t="s">
        <v>287</v>
      </c>
      <c r="H34" s="3">
        <v>0.358</v>
      </c>
      <c r="I34" s="3">
        <f t="shared" si="4"/>
        <v>0.44316697529217586</v>
      </c>
      <c r="J34" s="3">
        <f t="shared" si="8"/>
        <v>-0.3534326106053471</v>
      </c>
      <c r="L34" t="s">
        <v>287</v>
      </c>
      <c r="M34" s="3">
        <v>0.559</v>
      </c>
      <c r="N34" s="3">
        <f t="shared" si="1"/>
        <v>0.8187104035352912</v>
      </c>
      <c r="O34" s="3">
        <f t="shared" si="9"/>
        <v>-0.08686969089874899</v>
      </c>
      <c r="P34" s="3"/>
      <c r="Q34" s="3">
        <v>0.083</v>
      </c>
      <c r="R34" s="3">
        <f t="shared" si="2"/>
        <v>0.08664780672567217</v>
      </c>
      <c r="S34" s="3">
        <f t="shared" si="10"/>
        <v>-1.0622424258986296</v>
      </c>
      <c r="T34" s="3"/>
    </row>
    <row r="35" spans="1:20" ht="12.75">
      <c r="A35" t="s">
        <v>285</v>
      </c>
      <c r="B35">
        <v>3.59</v>
      </c>
      <c r="C35" s="3">
        <v>0.9279999999999999</v>
      </c>
      <c r="D35" s="3">
        <f>-LN(1-C35)</f>
        <v>2.631089159966081</v>
      </c>
      <c r="E35" s="3">
        <f>LOG(D35)</f>
        <v>0.4201355653130635</v>
      </c>
      <c r="F35" s="3"/>
      <c r="G35" t="s">
        <v>285</v>
      </c>
      <c r="H35" s="3">
        <v>0.493</v>
      </c>
      <c r="I35" s="3">
        <f t="shared" si="4"/>
        <v>0.6792442753909539</v>
      </c>
      <c r="J35" s="3">
        <f t="shared" si="8"/>
        <v>-0.16797401308908722</v>
      </c>
      <c r="L35" t="s">
        <v>285</v>
      </c>
      <c r="M35" s="3">
        <v>0.304</v>
      </c>
      <c r="N35" s="3">
        <f t="shared" si="1"/>
        <v>0.3624056186477174</v>
      </c>
      <c r="O35" s="3">
        <f t="shared" si="9"/>
        <v>-0.44080507774802913</v>
      </c>
      <c r="P35" s="3"/>
      <c r="Q35" s="3">
        <v>0.131</v>
      </c>
      <c r="R35" s="3">
        <f t="shared" si="2"/>
        <v>0.140412153716745</v>
      </c>
      <c r="S35" s="3">
        <f t="shared" si="10"/>
        <v>-0.852595299160112</v>
      </c>
      <c r="T35" s="3"/>
    </row>
    <row r="36" spans="1:20" ht="12.75">
      <c r="A36" t="s">
        <v>289</v>
      </c>
      <c r="B36">
        <v>3.77</v>
      </c>
      <c r="C36" s="3">
        <v>0.922</v>
      </c>
      <c r="D36" s="3">
        <f>-LN(1-C36)</f>
        <v>2.551046452292546</v>
      </c>
      <c r="E36" s="3">
        <f>LOG(D36)</f>
        <v>0.4067183667989897</v>
      </c>
      <c r="F36" s="3"/>
      <c r="G36" t="s">
        <v>289</v>
      </c>
      <c r="H36" s="3">
        <v>0.248</v>
      </c>
      <c r="I36" s="3">
        <f t="shared" si="4"/>
        <v>0.28501895503229724</v>
      </c>
      <c r="J36" s="3">
        <f t="shared" si="8"/>
        <v>-0.54512625651012</v>
      </c>
      <c r="L36" t="s">
        <v>289</v>
      </c>
      <c r="M36" s="3">
        <v>0.512</v>
      </c>
      <c r="N36" s="3">
        <f t="shared" si="1"/>
        <v>0.7174398731289899</v>
      </c>
      <c r="O36" s="3">
        <f t="shared" si="9"/>
        <v>-0.14421449022112917</v>
      </c>
      <c r="P36" s="3"/>
      <c r="Q36" s="3">
        <v>0.162</v>
      </c>
      <c r="R36" s="3">
        <f t="shared" si="2"/>
        <v>0.17673717850005405</v>
      </c>
      <c r="S36" s="3">
        <f t="shared" si="10"/>
        <v>-0.7526720825304937</v>
      </c>
      <c r="T36" s="3"/>
    </row>
    <row r="37" spans="1:20" ht="12.75">
      <c r="A37" t="s">
        <v>358</v>
      </c>
      <c r="B37">
        <v>3.41</v>
      </c>
      <c r="C37" s="3">
        <v>0.925</v>
      </c>
      <c r="D37" s="3">
        <f>-LN(1-C37)</f>
        <v>2.590267165445827</v>
      </c>
      <c r="E37" s="3">
        <f>LOG(D37)</f>
        <v>0.41334456041135414</v>
      </c>
      <c r="F37" s="3"/>
      <c r="G37" t="s">
        <v>358</v>
      </c>
      <c r="H37" s="3">
        <v>0.409</v>
      </c>
      <c r="I37" s="3">
        <f t="shared" si="4"/>
        <v>0.525939261576039</v>
      </c>
      <c r="J37" s="3">
        <f t="shared" si="8"/>
        <v>-0.27906440771977414</v>
      </c>
      <c r="L37" t="s">
        <v>358</v>
      </c>
      <c r="M37" s="3">
        <v>0.423</v>
      </c>
      <c r="N37" s="3">
        <f t="shared" si="1"/>
        <v>0.5499130124740376</v>
      </c>
      <c r="O37" s="3">
        <f t="shared" si="9"/>
        <v>-0.25970600357906326</v>
      </c>
      <c r="P37" s="3"/>
      <c r="Q37" s="3">
        <v>0.093</v>
      </c>
      <c r="R37" s="3">
        <f t="shared" si="2"/>
        <v>0.09761282886700043</v>
      </c>
      <c r="S37" s="3">
        <f t="shared" si="10"/>
        <v>-1.010493100980738</v>
      </c>
      <c r="T37" s="3"/>
    </row>
    <row r="38" spans="1:20" ht="12.75">
      <c r="A38" t="s">
        <v>522</v>
      </c>
      <c r="B38">
        <v>3.43</v>
      </c>
      <c r="C38" s="3">
        <v>0.875</v>
      </c>
      <c r="D38" s="3">
        <f>-LN(1-C38)</f>
        <v>2.0794415416798357</v>
      </c>
      <c r="E38" s="3"/>
      <c r="F38" s="3"/>
      <c r="G38" t="s">
        <v>522</v>
      </c>
      <c r="H38" s="3">
        <v>0.05</v>
      </c>
      <c r="I38" s="3">
        <f t="shared" si="4"/>
        <v>0.051293294387550585</v>
      </c>
      <c r="J38" s="3"/>
      <c r="L38" t="s">
        <v>522</v>
      </c>
      <c r="M38" s="3">
        <v>0.229</v>
      </c>
      <c r="N38" s="3">
        <f t="shared" si="1"/>
        <v>0.26006690541880756</v>
      </c>
      <c r="O38" s="3"/>
      <c r="P38" s="3"/>
      <c r="Q38" s="3">
        <v>0.59</v>
      </c>
      <c r="R38" s="3">
        <f t="shared" si="2"/>
        <v>0.8915981192837835</v>
      </c>
      <c r="S38" s="3"/>
      <c r="T38" s="3"/>
    </row>
    <row r="39" spans="1:20" ht="12.75">
      <c r="A39" t="s">
        <v>522</v>
      </c>
      <c r="B39">
        <v>3.56</v>
      </c>
      <c r="C39" s="3">
        <v>0.88</v>
      </c>
      <c r="D39" s="3">
        <f>-LN(1-C39)</f>
        <v>2.120263536200091</v>
      </c>
      <c r="E39" s="3">
        <f>LOG(AVERAGE(D38:D39))</f>
        <v>0.32218879769903425</v>
      </c>
      <c r="F39" s="3"/>
      <c r="G39" t="s">
        <v>522</v>
      </c>
      <c r="H39" s="3">
        <v>0.13</v>
      </c>
      <c r="I39" s="3">
        <f t="shared" si="4"/>
        <v>0.13926206733350766</v>
      </c>
      <c r="J39" s="3">
        <f>LOG(AVERAGE(I38:I39))</f>
        <v>-1.0210088224922476</v>
      </c>
      <c r="L39" t="s">
        <v>522</v>
      </c>
      <c r="M39" s="3">
        <v>0.299</v>
      </c>
      <c r="N39" s="3">
        <f t="shared" si="1"/>
        <v>0.35524739194754684</v>
      </c>
      <c r="O39" s="3">
        <f>LOG(AVERAGE(N38:N39))</f>
        <v>-0.5119329892462369</v>
      </c>
      <c r="P39" s="3"/>
      <c r="Q39" s="3">
        <v>0.448</v>
      </c>
      <c r="R39" s="3">
        <f t="shared" si="2"/>
        <v>0.5942072327050416</v>
      </c>
      <c r="S39" s="3">
        <f>LOG(AVERAGE(R38:R39))</f>
        <v>-0.1290680772852874</v>
      </c>
      <c r="T39" s="3"/>
    </row>
    <row r="40" spans="1:20" ht="12.75">
      <c r="A40" t="s">
        <v>523</v>
      </c>
      <c r="B40">
        <v>3.16</v>
      </c>
      <c r="C40" s="3"/>
      <c r="D40" s="3"/>
      <c r="E40" s="3"/>
      <c r="F40" s="3"/>
      <c r="G40" t="s">
        <v>523</v>
      </c>
      <c r="H40" s="3"/>
      <c r="I40" s="3"/>
      <c r="J40" s="3"/>
      <c r="L40" t="s">
        <v>523</v>
      </c>
      <c r="M40" s="3">
        <v>0.607</v>
      </c>
      <c r="N40" s="3">
        <f t="shared" si="1"/>
        <v>0.9339456671128759</v>
      </c>
      <c r="O40" s="3"/>
      <c r="P40" s="3"/>
      <c r="Q40" s="3">
        <v>0.125</v>
      </c>
      <c r="R40" s="3">
        <f t="shared" si="2"/>
        <v>0.13353139262452263</v>
      </c>
      <c r="S40" s="3"/>
      <c r="T40" s="3"/>
    </row>
    <row r="41" spans="1:20" ht="12.75">
      <c r="A41" t="s">
        <v>523</v>
      </c>
      <c r="B41">
        <v>3.68</v>
      </c>
      <c r="C41" s="3">
        <v>0.9570000000000001</v>
      </c>
      <c r="D41" s="3">
        <f>-LN(1-C41)</f>
        <v>3.146555163288576</v>
      </c>
      <c r="E41" s="3">
        <f>LOG(AVERAGE(D40:D41))</f>
        <v>0.49783534990897116</v>
      </c>
      <c r="F41" s="3"/>
      <c r="G41" t="s">
        <v>523</v>
      </c>
      <c r="H41" s="3">
        <v>0.478</v>
      </c>
      <c r="I41" s="3">
        <f t="shared" si="4"/>
        <v>0.6500876910994983</v>
      </c>
      <c r="J41" s="3">
        <f>LOG(AVERAGE(I40:I41))</f>
        <v>-0.18702805690802624</v>
      </c>
      <c r="L41" t="s">
        <v>523</v>
      </c>
      <c r="M41" s="3">
        <v>0.417</v>
      </c>
      <c r="N41" s="3">
        <f t="shared" si="1"/>
        <v>0.5395680926316447</v>
      </c>
      <c r="O41" s="3">
        <f>LOG(AVERAGE(N40:N41))</f>
        <v>-0.13267579999570497</v>
      </c>
      <c r="P41" s="3"/>
      <c r="Q41" s="3">
        <v>0.062</v>
      </c>
      <c r="R41" s="3">
        <f t="shared" si="2"/>
        <v>0.06400532997591245</v>
      </c>
      <c r="S41" s="3">
        <f>LOG(AVERAGE(R40:R41))</f>
        <v>-1.0053821517004329</v>
      </c>
      <c r="T41" s="3"/>
    </row>
    <row r="42" spans="1:20" ht="12.75">
      <c r="A42" t="s">
        <v>359</v>
      </c>
      <c r="B42">
        <v>3.62</v>
      </c>
      <c r="C42" s="3"/>
      <c r="D42" s="3"/>
      <c r="E42" s="3"/>
      <c r="F42" s="3"/>
      <c r="G42" t="s">
        <v>359</v>
      </c>
      <c r="H42" s="3"/>
      <c r="I42" s="3"/>
      <c r="J42" s="3"/>
      <c r="L42" t="s">
        <v>359</v>
      </c>
      <c r="M42" s="3">
        <v>0.658</v>
      </c>
      <c r="N42" s="3">
        <f t="shared" si="1"/>
        <v>1.072944541919532</v>
      </c>
      <c r="O42" s="3">
        <f>LOG(N42)</f>
        <v>0.03057727484501291</v>
      </c>
      <c r="P42" s="3"/>
      <c r="Q42" s="3">
        <v>0.073</v>
      </c>
      <c r="R42" s="3">
        <f t="shared" si="2"/>
        <v>0.07580171341628186</v>
      </c>
      <c r="S42" s="3">
        <f>LOG(R42)</f>
        <v>-1.1203209774968876</v>
      </c>
      <c r="T42" s="3"/>
    </row>
    <row r="43" spans="1:20" ht="12.75">
      <c r="A43" t="s">
        <v>524</v>
      </c>
      <c r="B43">
        <v>3.9</v>
      </c>
      <c r="C43" s="3">
        <v>0.922</v>
      </c>
      <c r="D43" s="3">
        <f>-LN(1-C43)</f>
        <v>2.551046452292546</v>
      </c>
      <c r="E43" s="3">
        <f>LOG(D43)</f>
        <v>0.4067183667989897</v>
      </c>
      <c r="F43" s="201" t="s">
        <v>62</v>
      </c>
      <c r="G43" t="s">
        <v>524</v>
      </c>
      <c r="H43" s="3">
        <v>0.29</v>
      </c>
      <c r="I43" s="3">
        <f t="shared" si="4"/>
        <v>0.342490308946776</v>
      </c>
      <c r="J43" s="3">
        <f>LOG(I43)</f>
        <v>-0.46535171272771275</v>
      </c>
      <c r="K43" s="161" t="s">
        <v>63</v>
      </c>
      <c r="L43" t="s">
        <v>524</v>
      </c>
      <c r="M43" s="3">
        <v>0.601</v>
      </c>
      <c r="N43" s="3">
        <f t="shared" si="1"/>
        <v>0.9187938620922735</v>
      </c>
      <c r="O43" s="3">
        <f>LOG(N43)</f>
        <v>-0.03678191472685899</v>
      </c>
      <c r="P43" s="161" t="s">
        <v>64</v>
      </c>
      <c r="Q43" s="3">
        <v>0.032</v>
      </c>
      <c r="R43" s="3">
        <f t="shared" si="2"/>
        <v>0.03252319170556007</v>
      </c>
      <c r="S43" s="3">
        <f>LOG(R43)</f>
        <v>-1.4878068409348253</v>
      </c>
      <c r="T43" s="161" t="s">
        <v>64</v>
      </c>
    </row>
    <row r="44" spans="1:20" ht="12.75">
      <c r="A44" t="s">
        <v>525</v>
      </c>
      <c r="B44">
        <v>3.94</v>
      </c>
      <c r="C44" s="3">
        <v>0.953</v>
      </c>
      <c r="D44" s="3">
        <f>-LN(1-C44)</f>
        <v>3.0576076772720775</v>
      </c>
      <c r="E44" s="3">
        <f>LOG(D44)</f>
        <v>0.4853817601716629</v>
      </c>
      <c r="F44" s="162" t="s">
        <v>341</v>
      </c>
      <c r="G44" t="s">
        <v>525</v>
      </c>
      <c r="H44" s="3">
        <v>0.411</v>
      </c>
      <c r="I44" s="3">
        <f t="shared" si="4"/>
        <v>0.5293290953305504</v>
      </c>
      <c r="J44" s="3">
        <f>LOG(I44)</f>
        <v>-0.27627423373549476</v>
      </c>
      <c r="K44" s="162" t="s">
        <v>341</v>
      </c>
      <c r="L44" t="s">
        <v>525</v>
      </c>
      <c r="M44" s="3">
        <v>0.423</v>
      </c>
      <c r="N44" s="3">
        <f t="shared" si="1"/>
        <v>0.5499130124740376</v>
      </c>
      <c r="O44" s="3">
        <f>LOG(N44)</f>
        <v>-0.25970600357906326</v>
      </c>
      <c r="P44" s="162" t="s">
        <v>341</v>
      </c>
      <c r="Q44" s="3">
        <v>0.119</v>
      </c>
      <c r="R44" s="3">
        <f t="shared" si="2"/>
        <v>0.1266976530459575</v>
      </c>
      <c r="S44" s="3">
        <f>LOG(R44)</f>
        <v>-0.8972314299360564</v>
      </c>
      <c r="T44" s="162" t="s">
        <v>341</v>
      </c>
    </row>
    <row r="45" spans="1:20" ht="12.75">
      <c r="A45" t="s">
        <v>526</v>
      </c>
      <c r="B45">
        <v>3.77</v>
      </c>
      <c r="C45" s="3">
        <v>0.977</v>
      </c>
      <c r="D45" s="3">
        <f>-LN(1-C45)</f>
        <v>3.7722610630529863</v>
      </c>
      <c r="E45" s="3">
        <f>LOG(D45)</f>
        <v>0.5766017408839608</v>
      </c>
      <c r="F45" s="178">
        <f>STDEV(E20:E45)</f>
        <v>0.12573567697444143</v>
      </c>
      <c r="G45" t="s">
        <v>526</v>
      </c>
      <c r="H45" s="3">
        <v>0.39399999999999996</v>
      </c>
      <c r="I45" s="3">
        <f t="shared" si="4"/>
        <v>0.5008752929128224</v>
      </c>
      <c r="J45" s="3">
        <f>LOG(I45)</f>
        <v>-0.3002703905829318</v>
      </c>
      <c r="K45" s="178">
        <f>STDEV(J20:J45)</f>
        <v>0.24053429995254155</v>
      </c>
      <c r="L45" t="s">
        <v>526</v>
      </c>
      <c r="M45" s="3">
        <v>0.466</v>
      </c>
      <c r="N45" s="3">
        <f t="shared" si="1"/>
        <v>0.6273594400219422</v>
      </c>
      <c r="O45" s="3">
        <f>LOG(N45)</f>
        <v>-0.20248356269288822</v>
      </c>
      <c r="P45" s="178">
        <f>STDEV(O20:O45)</f>
        <v>0.18900286469969355</v>
      </c>
      <c r="Q45" s="3">
        <v>0.117</v>
      </c>
      <c r="R45" s="3">
        <f t="shared" si="2"/>
        <v>0.12443007837817703</v>
      </c>
      <c r="S45" s="3">
        <f>LOG(R45)</f>
        <v>-0.9050746253148068</v>
      </c>
      <c r="T45" s="178">
        <f>STDEV(S20:S45)</f>
        <v>0.3175135819330144</v>
      </c>
    </row>
    <row r="46" spans="3:18" ht="12.75">
      <c r="C46" s="3"/>
      <c r="D46" s="3"/>
      <c r="E46" s="3"/>
      <c r="F46" s="3"/>
      <c r="H46" s="3"/>
      <c r="I46" s="3"/>
      <c r="J46" s="3"/>
      <c r="M46" s="3"/>
      <c r="N46" s="3"/>
      <c r="O46" s="3"/>
      <c r="P46" s="3"/>
      <c r="Q46" s="3"/>
      <c r="R46" s="3"/>
    </row>
    <row r="47" spans="1:19" ht="12.75">
      <c r="A47" t="s">
        <v>527</v>
      </c>
      <c r="B47">
        <v>4.05</v>
      </c>
      <c r="C47" s="3">
        <v>0.935</v>
      </c>
      <c r="D47" s="3">
        <f>-LN(1-C47)</f>
        <v>2.733368009086501</v>
      </c>
      <c r="E47" s="3">
        <f>LOG(D47)</f>
        <v>0.43669810719798097</v>
      </c>
      <c r="F47" s="3"/>
      <c r="G47" t="s">
        <v>527</v>
      </c>
      <c r="H47" s="3">
        <v>0.685</v>
      </c>
      <c r="I47" s="3">
        <f aca="true" t="shared" si="11" ref="I47:I68">-LN(1-H47)</f>
        <v>1.1551826401565042</v>
      </c>
      <c r="J47" s="3">
        <f>LOG(I47)</f>
        <v>0.06265065378781629</v>
      </c>
      <c r="L47" t="s">
        <v>527</v>
      </c>
      <c r="M47" s="3">
        <v>0.125</v>
      </c>
      <c r="N47" s="3">
        <f t="shared" si="1"/>
        <v>0.13353139262452263</v>
      </c>
      <c r="O47" s="3">
        <f>LOG(N47)</f>
        <v>-0.8744166216336894</v>
      </c>
      <c r="P47" s="3"/>
      <c r="Q47" s="3">
        <v>0.125</v>
      </c>
      <c r="R47" s="3">
        <f t="shared" si="2"/>
        <v>0.13353139262452263</v>
      </c>
      <c r="S47" s="3">
        <f>LOG(R47)</f>
        <v>-0.8744166216336894</v>
      </c>
    </row>
    <row r="48" spans="1:19" ht="12.75">
      <c r="A48" t="s">
        <v>575</v>
      </c>
      <c r="B48">
        <v>4.95</v>
      </c>
      <c r="C48" s="2">
        <v>0.995</v>
      </c>
      <c r="D48" s="3">
        <f>-LN(1-C48)</f>
        <v>5.298317366548035</v>
      </c>
      <c r="E48" s="3">
        <f aca="true" t="shared" si="12" ref="E48:E60">LOG(D48)</f>
        <v>0.7241379687616047</v>
      </c>
      <c r="F48" s="3"/>
      <c r="G48" t="s">
        <v>575</v>
      </c>
      <c r="H48" s="3">
        <v>0.507</v>
      </c>
      <c r="I48" s="3">
        <f t="shared" si="4"/>
        <v>0.707246104939447</v>
      </c>
      <c r="J48" s="3">
        <f aca="true" t="shared" si="13" ref="J48:J60">LOG(I48)</f>
        <v>-0.150429435681453</v>
      </c>
      <c r="L48" t="s">
        <v>575</v>
      </c>
      <c r="M48" s="3">
        <v>0.429</v>
      </c>
      <c r="N48" s="3">
        <f t="shared" si="1"/>
        <v>0.5603660693261269</v>
      </c>
      <c r="O48" s="3">
        <f aca="true" t="shared" si="14" ref="O48:O60">LOG(N48)</f>
        <v>-0.25152816951502377</v>
      </c>
      <c r="P48" s="3"/>
      <c r="Q48" s="3">
        <v>0.059</v>
      </c>
      <c r="R48" s="3">
        <f t="shared" si="2"/>
        <v>0.06081213939675736</v>
      </c>
      <c r="S48" s="3">
        <f aca="true" t="shared" si="15" ref="S48:S60">LOG(R48)</f>
        <v>-1.216009717655203</v>
      </c>
    </row>
    <row r="49" spans="1:19" ht="12.75">
      <c r="A49" t="s">
        <v>578</v>
      </c>
      <c r="B49">
        <v>4.8</v>
      </c>
      <c r="C49" s="3">
        <v>0.963</v>
      </c>
      <c r="D49" s="3">
        <f>-LN(1-C49)</f>
        <v>3.2968373663379116</v>
      </c>
      <c r="E49" s="3">
        <f t="shared" si="12"/>
        <v>0.5180975238358716</v>
      </c>
      <c r="F49" s="3"/>
      <c r="G49" t="s">
        <v>578</v>
      </c>
      <c r="H49" s="3">
        <v>0.795</v>
      </c>
      <c r="I49" s="3">
        <f t="shared" si="4"/>
        <v>1.584745299843729</v>
      </c>
      <c r="J49" s="3">
        <f t="shared" si="13"/>
        <v>0.19995947238283052</v>
      </c>
      <c r="L49" t="s">
        <v>578</v>
      </c>
      <c r="M49" s="3">
        <v>0.16</v>
      </c>
      <c r="N49" s="3">
        <f t="shared" si="1"/>
        <v>0.1743533871447778</v>
      </c>
      <c r="O49" s="3">
        <f t="shared" si="14"/>
        <v>-0.7585696112131687</v>
      </c>
      <c r="P49" s="3"/>
      <c r="Q49" s="3">
        <v>0.008</v>
      </c>
      <c r="R49" s="3">
        <f t="shared" si="2"/>
        <v>0.008032171697264268</v>
      </c>
      <c r="S49" s="3">
        <f t="shared" si="15"/>
        <v>-2.0951670165365255</v>
      </c>
    </row>
    <row r="50" spans="1:19" ht="12.75">
      <c r="A50" t="s">
        <v>576</v>
      </c>
      <c r="B50">
        <v>4.99</v>
      </c>
      <c r="C50" s="3">
        <v>0.973</v>
      </c>
      <c r="D50" s="3">
        <f>-LN(1-C50)</f>
        <v>3.6119184129778072</v>
      </c>
      <c r="E50" s="3">
        <f t="shared" si="12"/>
        <v>0.5577379317871732</v>
      </c>
      <c r="F50" s="3"/>
      <c r="G50" t="s">
        <v>576</v>
      </c>
      <c r="H50" s="3">
        <v>0.744</v>
      </c>
      <c r="I50" s="3">
        <f t="shared" si="4"/>
        <v>1.3625778345025745</v>
      </c>
      <c r="J50" s="3">
        <f t="shared" si="13"/>
        <v>0.13436131985105412</v>
      </c>
      <c r="L50" t="s">
        <v>576</v>
      </c>
      <c r="M50" s="3">
        <v>0.2</v>
      </c>
      <c r="N50" s="3">
        <f t="shared" si="1"/>
        <v>0.22314355131420968</v>
      </c>
      <c r="O50" s="3">
        <f t="shared" si="14"/>
        <v>-0.6514156594356943</v>
      </c>
      <c r="P50" s="3"/>
      <c r="Q50" s="3">
        <v>0.029</v>
      </c>
      <c r="R50" s="3">
        <f t="shared" si="2"/>
        <v>0.029428810690812164</v>
      </c>
      <c r="S50" s="3">
        <f t="shared" si="15"/>
        <v>-1.5312272887279221</v>
      </c>
    </row>
    <row r="51" spans="1:19" ht="12.75">
      <c r="A51" t="s">
        <v>528</v>
      </c>
      <c r="B51">
        <v>4.65</v>
      </c>
      <c r="C51" s="3">
        <v>0.9740000000000001</v>
      </c>
      <c r="D51" s="3">
        <f>-LN(1-C51)</f>
        <v>3.6496587409606582</v>
      </c>
      <c r="E51" s="3">
        <f t="shared" si="12"/>
        <v>0.5622522579231961</v>
      </c>
      <c r="F51" s="3"/>
      <c r="G51" t="s">
        <v>528</v>
      </c>
      <c r="H51" s="3">
        <v>0.332</v>
      </c>
      <c r="I51" s="3">
        <f t="shared" si="4"/>
        <v>0.40346710544549147</v>
      </c>
      <c r="J51" s="3">
        <f t="shared" si="13"/>
        <v>-0.3941918674000408</v>
      </c>
      <c r="L51" t="s">
        <v>528</v>
      </c>
      <c r="M51" s="3">
        <v>0.545</v>
      </c>
      <c r="N51" s="3">
        <f t="shared" si="1"/>
        <v>0.7874578600311867</v>
      </c>
      <c r="O51" s="3">
        <f t="shared" si="14"/>
        <v>-0.10377267772324811</v>
      </c>
      <c r="P51" s="3"/>
      <c r="Q51" s="3">
        <v>0.047</v>
      </c>
      <c r="R51" s="3">
        <f t="shared" si="2"/>
        <v>0.04814037532793499</v>
      </c>
      <c r="S51" s="3">
        <f t="shared" si="15"/>
        <v>-1.3174905280573401</v>
      </c>
    </row>
    <row r="52" spans="1:19" ht="12.75">
      <c r="A52" t="s">
        <v>288</v>
      </c>
      <c r="B52">
        <v>4.79</v>
      </c>
      <c r="C52" s="3">
        <v>0.922</v>
      </c>
      <c r="D52" s="3">
        <f aca="true" t="shared" si="16" ref="D52:D67">-LN(1-C52)</f>
        <v>2.551046452292546</v>
      </c>
      <c r="E52" s="3">
        <f t="shared" si="12"/>
        <v>0.4067183667989897</v>
      </c>
      <c r="F52" s="3"/>
      <c r="G52" t="s">
        <v>288</v>
      </c>
      <c r="H52" s="3">
        <v>0.46799999999999997</v>
      </c>
      <c r="I52" s="3">
        <f t="shared" si="4"/>
        <v>0.6311117896404926</v>
      </c>
      <c r="J52" s="3">
        <f t="shared" si="13"/>
        <v>-0.19989370680354013</v>
      </c>
      <c r="L52" t="s">
        <v>288</v>
      </c>
      <c r="M52" s="3">
        <v>0.346</v>
      </c>
      <c r="N52" s="3">
        <f t="shared" si="1"/>
        <v>0.4246479275249383</v>
      </c>
      <c r="O52" s="3">
        <f t="shared" si="14"/>
        <v>-0.37197099112867893</v>
      </c>
      <c r="P52" s="3"/>
      <c r="Q52" s="3">
        <v>0.109</v>
      </c>
      <c r="R52" s="3">
        <f t="shared" si="2"/>
        <v>0.11541085151132774</v>
      </c>
      <c r="S52" s="3">
        <f t="shared" si="15"/>
        <v>-0.9377533546991378</v>
      </c>
    </row>
    <row r="53" spans="1:19" ht="12.75">
      <c r="A53" t="s">
        <v>355</v>
      </c>
      <c r="B53">
        <v>4.85</v>
      </c>
      <c r="C53" s="3">
        <v>0.9640000000000001</v>
      </c>
      <c r="D53" s="3">
        <f t="shared" si="16"/>
        <v>3.324236340526029</v>
      </c>
      <c r="E53" s="3">
        <f t="shared" si="12"/>
        <v>0.5216918928911084</v>
      </c>
      <c r="F53" s="3"/>
      <c r="G53" t="s">
        <v>355</v>
      </c>
      <c r="H53" s="3">
        <v>0.736</v>
      </c>
      <c r="I53" s="3">
        <f t="shared" si="11"/>
        <v>1.3318061758358208</v>
      </c>
      <c r="J53" s="3">
        <f t="shared" si="13"/>
        <v>0.12444102446642166</v>
      </c>
      <c r="L53" t="s">
        <v>355</v>
      </c>
      <c r="M53" s="3">
        <v>0.205</v>
      </c>
      <c r="N53" s="3">
        <f t="shared" si="1"/>
        <v>0.22941316432780512</v>
      </c>
      <c r="O53" s="3">
        <f t="shared" si="14"/>
        <v>-0.6393816647656718</v>
      </c>
      <c r="P53" s="3"/>
      <c r="Q53" s="3">
        <v>0.023</v>
      </c>
      <c r="R53" s="3">
        <f t="shared" si="2"/>
        <v>0.023268626939354334</v>
      </c>
      <c r="S53" s="3">
        <f t="shared" si="15"/>
        <v>-1.6332292432820419</v>
      </c>
    </row>
    <row r="54" spans="1:19" ht="12.75">
      <c r="A54" t="s">
        <v>293</v>
      </c>
      <c r="B54">
        <v>4.86</v>
      </c>
      <c r="C54" s="3">
        <v>0.98</v>
      </c>
      <c r="D54" s="3">
        <f t="shared" si="16"/>
        <v>3.912023005428145</v>
      </c>
      <c r="E54" s="3">
        <f t="shared" si="12"/>
        <v>0.5924014000780177</v>
      </c>
      <c r="F54" s="3"/>
      <c r="G54" t="s">
        <v>293</v>
      </c>
      <c r="H54" s="3">
        <v>0.804</v>
      </c>
      <c r="I54" s="3">
        <f t="shared" si="11"/>
        <v>1.62964061975162</v>
      </c>
      <c r="J54" s="3">
        <f t="shared" si="13"/>
        <v>0.21209184117259844</v>
      </c>
      <c r="L54" t="s">
        <v>293</v>
      </c>
      <c r="M54" s="3">
        <v>0.171</v>
      </c>
      <c r="N54" s="3">
        <f t="shared" si="1"/>
        <v>0.18753512384684212</v>
      </c>
      <c r="O54" s="3">
        <f t="shared" si="14"/>
        <v>-0.7269173803933715</v>
      </c>
      <c r="P54" s="3"/>
      <c r="Q54" s="3">
        <v>0.005</v>
      </c>
      <c r="R54" s="3">
        <f t="shared" si="2"/>
        <v>0.005012541823544285</v>
      </c>
      <c r="S54" s="3">
        <f t="shared" si="15"/>
        <v>-2.2999419906991987</v>
      </c>
    </row>
    <row r="55" spans="1:19" ht="12.75">
      <c r="A55" t="s">
        <v>549</v>
      </c>
      <c r="B55">
        <v>4.04</v>
      </c>
      <c r="C55" s="3">
        <v>0.966</v>
      </c>
      <c r="D55" s="3">
        <f t="shared" si="16"/>
        <v>3.381394754365975</v>
      </c>
      <c r="E55" s="3">
        <f t="shared" si="12"/>
        <v>0.529095874591639</v>
      </c>
      <c r="F55" s="3"/>
      <c r="G55" t="s">
        <v>549</v>
      </c>
      <c r="H55" s="3">
        <v>0.63</v>
      </c>
      <c r="I55" s="3">
        <f t="shared" si="11"/>
        <v>0.994252273343867</v>
      </c>
      <c r="J55" s="3">
        <f t="shared" si="13"/>
        <v>-0.002503407332609969</v>
      </c>
      <c r="L55" t="s">
        <v>549</v>
      </c>
      <c r="M55" s="3">
        <v>0.256</v>
      </c>
      <c r="N55" s="3">
        <f t="shared" si="1"/>
        <v>0.29571424414904524</v>
      </c>
      <c r="O55" s="3">
        <f t="shared" si="14"/>
        <v>-0.5291277556012477</v>
      </c>
      <c r="P55" s="3"/>
      <c r="Q55" s="3">
        <v>0.081</v>
      </c>
      <c r="R55" s="3">
        <f t="shared" si="2"/>
        <v>0.08446915662644996</v>
      </c>
      <c r="S55" s="3">
        <f t="shared" si="15"/>
        <v>-1.0733018419640041</v>
      </c>
    </row>
    <row r="56" spans="1:19" ht="12.75">
      <c r="A56" t="s">
        <v>294</v>
      </c>
      <c r="B56">
        <v>4.12</v>
      </c>
      <c r="C56" s="3">
        <v>0.951</v>
      </c>
      <c r="D56" s="3">
        <f t="shared" si="16"/>
        <v>3.0159349808715095</v>
      </c>
      <c r="E56" s="3">
        <f t="shared" si="12"/>
        <v>0.47942197454750485</v>
      </c>
      <c r="F56" s="3"/>
      <c r="G56" t="s">
        <v>294</v>
      </c>
      <c r="H56" s="3">
        <v>0.643</v>
      </c>
      <c r="I56" s="3">
        <f t="shared" si="11"/>
        <v>1.030019497202498</v>
      </c>
      <c r="J56" s="3">
        <f t="shared" si="13"/>
        <v>0.01284544552780929</v>
      </c>
      <c r="L56" t="s">
        <v>294</v>
      </c>
      <c r="M56" s="3">
        <v>0.24</v>
      </c>
      <c r="N56" s="3">
        <f t="shared" si="1"/>
        <v>0.27443684570176025</v>
      </c>
      <c r="O56" s="3">
        <f t="shared" si="14"/>
        <v>-0.5615575809729126</v>
      </c>
      <c r="P56" s="3"/>
      <c r="Q56" s="3">
        <v>0.068</v>
      </c>
      <c r="R56" s="3">
        <f t="shared" si="2"/>
        <v>0.07042246429654592</v>
      </c>
      <c r="S56" s="3">
        <f t="shared" si="15"/>
        <v>-1.1522887817130636</v>
      </c>
    </row>
    <row r="57" spans="1:19" ht="12.75">
      <c r="A57" t="s">
        <v>577</v>
      </c>
      <c r="B57">
        <v>4.8</v>
      </c>
      <c r="C57" s="3">
        <v>0.948</v>
      </c>
      <c r="D57" s="3">
        <f t="shared" si="16"/>
        <v>2.956511560400709</v>
      </c>
      <c r="E57" s="3">
        <f t="shared" si="12"/>
        <v>0.4707795814945768</v>
      </c>
      <c r="F57" s="3"/>
      <c r="G57" t="s">
        <v>577</v>
      </c>
      <c r="H57" s="3">
        <v>0.34600000000000003</v>
      </c>
      <c r="I57" s="3">
        <f t="shared" si="11"/>
        <v>0.4246479275249385</v>
      </c>
      <c r="J57" s="3">
        <f t="shared" si="13"/>
        <v>-0.37197099112867865</v>
      </c>
      <c r="L57" t="s">
        <v>577</v>
      </c>
      <c r="M57" s="3">
        <v>0.572</v>
      </c>
      <c r="N57" s="3">
        <f t="shared" si="1"/>
        <v>0.8486320834003401</v>
      </c>
      <c r="O57" s="3">
        <f t="shared" si="14"/>
        <v>-0.07128055331376153</v>
      </c>
      <c r="P57" s="3"/>
      <c r="Q57" s="3">
        <v>0.03</v>
      </c>
      <c r="R57" s="3">
        <f t="shared" si="2"/>
        <v>0.030459207484708574</v>
      </c>
      <c r="S57" s="3">
        <f t="shared" si="15"/>
        <v>-1.5162814007207743</v>
      </c>
    </row>
    <row r="58" spans="1:19" ht="12.75">
      <c r="A58" t="s">
        <v>287</v>
      </c>
      <c r="B58">
        <v>4.9</v>
      </c>
      <c r="C58" s="3"/>
      <c r="D58" s="3"/>
      <c r="E58" s="3"/>
      <c r="F58" s="3"/>
      <c r="G58" t="s">
        <v>287</v>
      </c>
      <c r="H58" s="3">
        <v>0.483</v>
      </c>
      <c r="I58" s="3">
        <f t="shared" si="11"/>
        <v>0.6597124044737079</v>
      </c>
      <c r="J58" s="3">
        <f t="shared" si="13"/>
        <v>-0.1806453498685624</v>
      </c>
      <c r="L58" t="s">
        <v>287</v>
      </c>
      <c r="M58" s="3">
        <v>0.47</v>
      </c>
      <c r="N58" s="3">
        <f t="shared" si="1"/>
        <v>0.6348782724359695</v>
      </c>
      <c r="O58" s="3">
        <f t="shared" si="14"/>
        <v>-0.197309535616827</v>
      </c>
      <c r="P58" s="3"/>
      <c r="Q58" s="3">
        <v>0.046</v>
      </c>
      <c r="R58" s="3">
        <f t="shared" si="2"/>
        <v>0.04709160753385056</v>
      </c>
      <c r="S58" s="3">
        <f t="shared" si="15"/>
        <v>-1.3270564840919001</v>
      </c>
    </row>
    <row r="59" spans="1:19" ht="12.75">
      <c r="A59" t="s">
        <v>583</v>
      </c>
      <c r="B59">
        <v>4.9</v>
      </c>
      <c r="C59" s="3">
        <v>0.9329999999999999</v>
      </c>
      <c r="D59" s="3">
        <f>-LN(1-C59)</f>
        <v>2.70306265959117</v>
      </c>
      <c r="E59" s="3">
        <f t="shared" si="12"/>
        <v>0.43185611317903344</v>
      </c>
      <c r="F59" s="3"/>
      <c r="G59" t="s">
        <v>583</v>
      </c>
      <c r="H59" s="3">
        <v>0.498</v>
      </c>
      <c r="I59" s="3">
        <f t="shared" si="11"/>
        <v>0.6891551592904078</v>
      </c>
      <c r="J59" s="3">
        <f t="shared" si="13"/>
        <v>-0.16168298819771593</v>
      </c>
      <c r="L59" t="s">
        <v>583</v>
      </c>
      <c r="M59" s="3">
        <v>0.37</v>
      </c>
      <c r="N59" s="3">
        <f t="shared" si="1"/>
        <v>0.4620354595965587</v>
      </c>
      <c r="O59" s="3">
        <f t="shared" si="14"/>
        <v>-0.33532469259072195</v>
      </c>
      <c r="P59" s="3"/>
      <c r="Q59" s="3">
        <v>0.065</v>
      </c>
      <c r="R59" s="3">
        <f t="shared" si="2"/>
        <v>0.06720874969345</v>
      </c>
      <c r="S59" s="3">
        <f t="shared" si="15"/>
        <v>-1.172574183847638</v>
      </c>
    </row>
    <row r="60" spans="1:19" ht="12.75">
      <c r="A60" t="s">
        <v>285</v>
      </c>
      <c r="B60">
        <v>4.93</v>
      </c>
      <c r="C60" s="3">
        <v>0.972</v>
      </c>
      <c r="D60" s="3">
        <f>-LN(1-C60)</f>
        <v>3.575550768806932</v>
      </c>
      <c r="E60" s="3">
        <f t="shared" si="12"/>
        <v>0.5533429489147628</v>
      </c>
      <c r="F60" s="3"/>
      <c r="G60" t="s">
        <v>285</v>
      </c>
      <c r="H60" s="3">
        <v>0.721</v>
      </c>
      <c r="I60" s="3">
        <f t="shared" si="11"/>
        <v>1.2765434971607714</v>
      </c>
      <c r="J60" s="3">
        <f t="shared" si="13"/>
        <v>0.10603561761661653</v>
      </c>
      <c r="L60" t="s">
        <v>285</v>
      </c>
      <c r="M60" s="3">
        <v>0.226</v>
      </c>
      <c r="N60" s="3">
        <f t="shared" si="1"/>
        <v>0.25618340539240986</v>
      </c>
      <c r="O60" s="3">
        <f t="shared" si="14"/>
        <v>-0.5914490056604984</v>
      </c>
      <c r="P60" s="3"/>
      <c r="Q60" s="3">
        <v>0.025</v>
      </c>
      <c r="R60" s="3">
        <f t="shared" si="2"/>
        <v>0.025317807984289894</v>
      </c>
      <c r="S60" s="3">
        <f t="shared" si="15"/>
        <v>-1.596573898241459</v>
      </c>
    </row>
    <row r="61" spans="1:19" ht="12.75">
      <c r="A61" t="s">
        <v>289</v>
      </c>
      <c r="B61">
        <v>4.64</v>
      </c>
      <c r="C61" s="3">
        <v>0.99</v>
      </c>
      <c r="D61" s="3">
        <f t="shared" si="16"/>
        <v>4.605170185988091</v>
      </c>
      <c r="E61" s="3"/>
      <c r="F61" s="3"/>
      <c r="G61" t="s">
        <v>289</v>
      </c>
      <c r="H61" s="3">
        <v>0.55</v>
      </c>
      <c r="I61" s="3">
        <f t="shared" si="11"/>
        <v>0.7985076962177717</v>
      </c>
      <c r="J61" s="3"/>
      <c r="L61" t="s">
        <v>289</v>
      </c>
      <c r="M61" s="3">
        <v>0.246</v>
      </c>
      <c r="N61" s="3">
        <f t="shared" si="1"/>
        <v>0.282362910974181</v>
      </c>
      <c r="O61" s="3"/>
      <c r="P61" s="3"/>
      <c r="Q61" s="3">
        <v>0.096</v>
      </c>
      <c r="R61" s="3">
        <f t="shared" si="2"/>
        <v>0.10092591858996051</v>
      </c>
      <c r="S61" s="3"/>
    </row>
    <row r="62" spans="1:19" ht="12.75">
      <c r="A62" t="s">
        <v>289</v>
      </c>
      <c r="B62">
        <v>4.82</v>
      </c>
      <c r="C62" s="3">
        <v>0.9925</v>
      </c>
      <c r="D62" s="3">
        <f t="shared" si="16"/>
        <v>4.892852258439879</v>
      </c>
      <c r="E62" s="3">
        <f>LOG(AVERAGE(D61:D62))</f>
        <v>0.6766031958485692</v>
      </c>
      <c r="F62" s="3"/>
      <c r="G62" t="s">
        <v>289</v>
      </c>
      <c r="H62" s="3">
        <v>0.847</v>
      </c>
      <c r="I62" s="3">
        <f t="shared" si="11"/>
        <v>1.8773173575897015</v>
      </c>
      <c r="J62" s="3">
        <f>LOG(AVERAGE(I61:I62))</f>
        <v>0.12642772006494066</v>
      </c>
      <c r="L62" t="s">
        <v>289</v>
      </c>
      <c r="M62" s="3">
        <v>0.116</v>
      </c>
      <c r="N62" s="3">
        <f t="shared" si="1"/>
        <v>0.12329821634449362</v>
      </c>
      <c r="O62" s="3">
        <f>LOG(AVERAGE(N61:N62))</f>
        <v>-0.6928666024527356</v>
      </c>
      <c r="P62" s="3"/>
      <c r="Q62" s="3">
        <v>0.029</v>
      </c>
      <c r="R62" s="3">
        <f t="shared" si="2"/>
        <v>0.029428810690812164</v>
      </c>
      <c r="S62" s="3">
        <f>LOG(AVERAGE(R61:R62))</f>
        <v>-1.1859032036327086</v>
      </c>
    </row>
    <row r="63" spans="1:19" ht="12.75">
      <c r="A63" t="s">
        <v>358</v>
      </c>
      <c r="B63">
        <v>4.05</v>
      </c>
      <c r="C63" s="3">
        <v>0.973</v>
      </c>
      <c r="D63" s="3">
        <f t="shared" si="16"/>
        <v>3.6119184129778072</v>
      </c>
      <c r="E63" s="3"/>
      <c r="F63" s="3"/>
      <c r="G63" t="s">
        <v>358</v>
      </c>
      <c r="H63" s="3">
        <v>0.769</v>
      </c>
      <c r="I63" s="3">
        <f t="shared" si="11"/>
        <v>1.4653375684603436</v>
      </c>
      <c r="J63" s="3"/>
      <c r="L63" t="s">
        <v>358</v>
      </c>
      <c r="M63" s="3">
        <v>0.163</v>
      </c>
      <c r="N63" s="3">
        <f t="shared" si="1"/>
        <v>0.17793120849266178</v>
      </c>
      <c r="O63" s="3"/>
      <c r="P63" s="3"/>
      <c r="Q63" s="3">
        <v>0.041</v>
      </c>
      <c r="R63" s="3">
        <f t="shared" si="2"/>
        <v>0.041864204098698864</v>
      </c>
      <c r="S63" s="3"/>
    </row>
    <row r="64" spans="1:19" ht="12.75">
      <c r="A64" t="s">
        <v>358</v>
      </c>
      <c r="B64">
        <v>4.7</v>
      </c>
      <c r="C64" s="3">
        <v>0.9359999999999999</v>
      </c>
      <c r="D64" s="3">
        <f>-LN(1-C64)</f>
        <v>2.7488721956224644</v>
      </c>
      <c r="E64" s="3">
        <f>LOG(AVERAGE(D63:D64))</f>
        <v>0.5024811035713731</v>
      </c>
      <c r="F64" s="3"/>
      <c r="G64" t="s">
        <v>358</v>
      </c>
      <c r="H64" s="3">
        <v>0.528</v>
      </c>
      <c r="I64" s="3">
        <f t="shared" si="11"/>
        <v>0.7507762933965817</v>
      </c>
      <c r="J64" s="3">
        <f>LOG(AVERAGE(I63:I64))</f>
        <v>0.044562074609831394</v>
      </c>
      <c r="L64" t="s">
        <v>358</v>
      </c>
      <c r="M64" s="3">
        <v>0.359</v>
      </c>
      <c r="N64" s="3">
        <f t="shared" si="1"/>
        <v>0.44472582206146705</v>
      </c>
      <c r="O64" s="3">
        <f>LOG(AVERAGE(N63:N64))</f>
        <v>-0.5067810994899188</v>
      </c>
      <c r="P64" s="3"/>
      <c r="Q64" s="3">
        <v>0.049</v>
      </c>
      <c r="R64" s="3">
        <f t="shared" si="2"/>
        <v>0.05024121643674678</v>
      </c>
      <c r="S64" s="3">
        <f>LOG(AVERAGE(R63:R64))</f>
        <v>-1.3367448058649571</v>
      </c>
    </row>
    <row r="65" spans="1:19" ht="12.75">
      <c r="A65" t="s">
        <v>522</v>
      </c>
      <c r="B65">
        <v>4.45</v>
      </c>
      <c r="C65" s="3"/>
      <c r="D65" s="3"/>
      <c r="E65" s="3"/>
      <c r="F65" s="3"/>
      <c r="G65" t="s">
        <v>522</v>
      </c>
      <c r="H65" s="3"/>
      <c r="I65" s="3"/>
      <c r="J65" s="3"/>
      <c r="L65" t="s">
        <v>522</v>
      </c>
      <c r="M65" s="3">
        <v>0.218</v>
      </c>
      <c r="N65" s="3">
        <f t="shared" si="1"/>
        <v>0.2459005384368259</v>
      </c>
      <c r="O65" s="3"/>
      <c r="P65" s="3"/>
      <c r="Q65" s="3">
        <v>0.194</v>
      </c>
      <c r="R65" s="3">
        <f t="shared" si="2"/>
        <v>0.2156715364755087</v>
      </c>
      <c r="S65" s="3"/>
    </row>
    <row r="66" spans="1:19" ht="12.75">
      <c r="A66" t="s">
        <v>522</v>
      </c>
      <c r="B66">
        <v>4.65</v>
      </c>
      <c r="C66" s="3">
        <v>0.9670000000000001</v>
      </c>
      <c r="D66" s="3">
        <f t="shared" si="16"/>
        <v>3.4112477175156593</v>
      </c>
      <c r="E66" s="3"/>
      <c r="F66" s="3"/>
      <c r="G66" t="s">
        <v>522</v>
      </c>
      <c r="H66" s="3">
        <v>0.385</v>
      </c>
      <c r="I66" s="3">
        <f t="shared" si="11"/>
        <v>0.48613301117561925</v>
      </c>
      <c r="J66" s="3"/>
      <c r="L66" t="s">
        <v>522</v>
      </c>
      <c r="M66" s="3">
        <v>0.322</v>
      </c>
      <c r="N66" s="3">
        <f t="shared" si="1"/>
        <v>0.3886079910417416</v>
      </c>
      <c r="O66" s="3"/>
      <c r="P66" s="3"/>
      <c r="Q66" s="3">
        <v>0.264</v>
      </c>
      <c r="R66" s="3">
        <f t="shared" si="2"/>
        <v>0.3065251602532608</v>
      </c>
      <c r="S66" s="3"/>
    </row>
    <row r="67" spans="1:19" ht="12.75">
      <c r="A67" t="s">
        <v>522</v>
      </c>
      <c r="B67">
        <v>4.77</v>
      </c>
      <c r="C67" s="3">
        <v>0.8859999999999999</v>
      </c>
      <c r="D67" s="3">
        <f t="shared" si="16"/>
        <v>2.1715568305876407</v>
      </c>
      <c r="E67" s="3">
        <f>LOG(AVERAGE(D66:D67))</f>
        <v>0.4458224279654075</v>
      </c>
      <c r="F67" s="3"/>
      <c r="G67" t="s">
        <v>522</v>
      </c>
      <c r="H67" s="3">
        <v>0.474</v>
      </c>
      <c r="I67" s="3">
        <f t="shared" si="11"/>
        <v>0.6424540662444271</v>
      </c>
      <c r="J67" s="3">
        <f>LOG(AVERAGE(I66:I67))</f>
        <v>-0.24849492247255678</v>
      </c>
      <c r="L67" t="s">
        <v>522</v>
      </c>
      <c r="M67" s="3">
        <v>0.379</v>
      </c>
      <c r="N67" s="3">
        <f t="shared" si="1"/>
        <v>0.4764241970486583</v>
      </c>
      <c r="O67" s="3">
        <f>LOG(AVERAGE(N65:N67))</f>
        <v>-0.43143349405296344</v>
      </c>
      <c r="P67" s="3"/>
      <c r="Q67" s="3">
        <v>0.033</v>
      </c>
      <c r="R67" s="3">
        <f t="shared" si="2"/>
        <v>0.033556783528842754</v>
      </c>
      <c r="S67" s="3">
        <f>LOG(AVERAGE(R65:R67))</f>
        <v>-0.7322390636870165</v>
      </c>
    </row>
    <row r="68" spans="1:20" ht="12.75">
      <c r="A68" t="s">
        <v>523</v>
      </c>
      <c r="B68">
        <v>4.96</v>
      </c>
      <c r="C68" s="3">
        <v>0.907</v>
      </c>
      <c r="D68" s="3">
        <f>-LN(1-C68)</f>
        <v>2.3751557858288814</v>
      </c>
      <c r="E68" s="3">
        <f>LOG(D68)</f>
        <v>0.37569210015330373</v>
      </c>
      <c r="F68" s="46">
        <f>COUNT(E47:E70)</f>
        <v>18</v>
      </c>
      <c r="G68" t="s">
        <v>523</v>
      </c>
      <c r="H68" s="3">
        <v>0.526</v>
      </c>
      <c r="I68" s="3">
        <f t="shared" si="11"/>
        <v>0.7465479572870606</v>
      </c>
      <c r="J68" s="3">
        <f>LOG(I68)</f>
        <v>-0.12694228852012873</v>
      </c>
      <c r="K68" s="46">
        <f>COUNT(J47:J70)</f>
        <v>19</v>
      </c>
      <c r="L68" t="s">
        <v>523</v>
      </c>
      <c r="M68" s="3">
        <v>0.343</v>
      </c>
      <c r="N68" s="3">
        <f t="shared" si="1"/>
        <v>0.42007126049752647</v>
      </c>
      <c r="O68" s="3">
        <f>LOG(N68)</f>
        <v>-0.3766770300408935</v>
      </c>
      <c r="P68" s="46">
        <f>COUNT(O47:O70)</f>
        <v>20</v>
      </c>
      <c r="Q68" s="3">
        <v>0.038</v>
      </c>
      <c r="R68" s="3">
        <f t="shared" si="2"/>
        <v>0.038740828316430595</v>
      </c>
      <c r="S68" s="3">
        <f>LOG(R68)</f>
        <v>-1.4118310978809936</v>
      </c>
      <c r="T68" s="46">
        <f>COUNT(S47:S70)</f>
        <v>20</v>
      </c>
    </row>
    <row r="69" spans="1:20" ht="12.75">
      <c r="A69" t="s">
        <v>359</v>
      </c>
      <c r="B69">
        <v>4.98</v>
      </c>
      <c r="C69" s="3"/>
      <c r="D69" s="3"/>
      <c r="E69" s="3"/>
      <c r="F69" s="162" t="s">
        <v>341</v>
      </c>
      <c r="G69" t="s">
        <v>359</v>
      </c>
      <c r="H69" s="3"/>
      <c r="I69" s="3"/>
      <c r="J69" s="3"/>
      <c r="K69" s="162" t="s">
        <v>341</v>
      </c>
      <c r="L69" t="s">
        <v>359</v>
      </c>
      <c r="M69" s="3">
        <v>0.53</v>
      </c>
      <c r="N69" s="3">
        <f t="shared" si="1"/>
        <v>0.7550225842780328</v>
      </c>
      <c r="O69" s="3">
        <f>LOG(N69)</f>
        <v>-0.12204005753553515</v>
      </c>
      <c r="P69" s="162" t="s">
        <v>341</v>
      </c>
      <c r="Q69" s="3">
        <v>0.011</v>
      </c>
      <c r="R69" s="3">
        <f t="shared" si="2"/>
        <v>0.011060947359424948</v>
      </c>
      <c r="S69" s="3">
        <f>LOG(R69)</f>
        <v>-1.9562076745366808</v>
      </c>
      <c r="T69" s="162" t="s">
        <v>341</v>
      </c>
    </row>
    <row r="70" spans="1:20" ht="12.75">
      <c r="A70" t="s">
        <v>290</v>
      </c>
      <c r="B70">
        <v>4.05</v>
      </c>
      <c r="C70" s="3">
        <v>0.9440000000000001</v>
      </c>
      <c r="D70" s="3">
        <f>-LN(1-C70)</f>
        <v>2.882403588246989</v>
      </c>
      <c r="E70" s="3">
        <f>LOG(D70)</f>
        <v>0.459754789759425</v>
      </c>
      <c r="F70" s="178">
        <f>STDEV(E47:E70)</f>
        <v>0.08976543419755226</v>
      </c>
      <c r="G70" t="s">
        <v>290</v>
      </c>
      <c r="H70" s="3">
        <v>0.58</v>
      </c>
      <c r="I70" s="3">
        <f>-LN(1-H70)</f>
        <v>0.867500567704723</v>
      </c>
      <c r="J70" s="3">
        <f>LOG(I70)</f>
        <v>-0.061730232328503255</v>
      </c>
      <c r="K70" s="178">
        <f>STDEV(J47:J70)</f>
        <v>0.1838317076617079</v>
      </c>
      <c r="L70" t="s">
        <v>290</v>
      </c>
      <c r="M70" s="3">
        <v>0.302</v>
      </c>
      <c r="N70" s="3">
        <f t="shared" si="1"/>
        <v>0.3595361762197646</v>
      </c>
      <c r="O70" s="3">
        <f>LOG(N70)</f>
        <v>-0.4442574047465421</v>
      </c>
      <c r="P70" s="178">
        <f>STDEV(O47:O70)</f>
        <v>0.23233889548584089</v>
      </c>
      <c r="Q70" s="3">
        <v>0.062</v>
      </c>
      <c r="R70" s="3">
        <f t="shared" si="2"/>
        <v>0.06400532997591245</v>
      </c>
      <c r="S70" s="3">
        <f>LOG(R70)</f>
        <v>-1.1937838590982317</v>
      </c>
      <c r="T70" s="178">
        <f>STDEV(S47:S70)</f>
        <v>0.398069957730563</v>
      </c>
    </row>
    <row r="74" spans="1:20" ht="12.75">
      <c r="A74" t="s">
        <v>548</v>
      </c>
      <c r="B74">
        <v>5.2</v>
      </c>
      <c r="C74" s="3">
        <v>0.943</v>
      </c>
      <c r="D74" s="3">
        <f aca="true" t="shared" si="17" ref="D74:D88">-LN(1-C74)</f>
        <v>2.864704011147586</v>
      </c>
      <c r="E74" s="3">
        <f>LOG(D74)</f>
        <v>0.45707975615822416</v>
      </c>
      <c r="F74" s="3"/>
      <c r="G74" t="s">
        <v>548</v>
      </c>
      <c r="H74" s="3">
        <v>0.552</v>
      </c>
      <c r="I74" s="3">
        <f aca="true" t="shared" si="18" ref="I74:I99">-LN(1-H74)</f>
        <v>0.802962046567152</v>
      </c>
      <c r="J74" s="3">
        <f>LOG(I74)</f>
        <v>-0.09530498193924863</v>
      </c>
      <c r="K74" s="3"/>
      <c r="L74" t="s">
        <v>548</v>
      </c>
      <c r="M74" s="3">
        <v>0.352</v>
      </c>
      <c r="N74" s="3">
        <f aca="true" t="shared" si="19" ref="N74:N99">-LN(1-M74)</f>
        <v>0.4338645826298623</v>
      </c>
      <c r="O74" s="3">
        <f>LOG(N74)</f>
        <v>-0.3626458008876439</v>
      </c>
      <c r="P74" s="3"/>
      <c r="Q74" s="3">
        <v>0.039</v>
      </c>
      <c r="R74" s="3">
        <f>-LN(1-Q74)</f>
        <v>0.039780870011844605</v>
      </c>
      <c r="S74" s="3">
        <f>LOG(R74)</f>
        <v>-1.4003257230413582</v>
      </c>
      <c r="T74" s="3"/>
    </row>
    <row r="75" spans="1:20" ht="12.75">
      <c r="A75" t="s">
        <v>527</v>
      </c>
      <c r="B75">
        <v>5.19</v>
      </c>
      <c r="C75" s="3">
        <v>0.9329999999999999</v>
      </c>
      <c r="D75" s="3">
        <f t="shared" si="17"/>
        <v>2.70306265959117</v>
      </c>
      <c r="E75" s="3"/>
      <c r="F75" s="3"/>
      <c r="G75" t="s">
        <v>527</v>
      </c>
      <c r="H75" s="3">
        <v>0.617</v>
      </c>
      <c r="I75" s="3">
        <f t="shared" si="18"/>
        <v>0.9597202898014909</v>
      </c>
      <c r="J75" s="3"/>
      <c r="K75" s="3"/>
      <c r="L75" t="s">
        <v>527</v>
      </c>
      <c r="M75" s="3">
        <v>0.253</v>
      </c>
      <c r="N75" s="3">
        <f t="shared" si="19"/>
        <v>0.29169009384931976</v>
      </c>
      <c r="O75" s="3"/>
      <c r="P75" s="3"/>
      <c r="Q75" s="3">
        <v>0.063</v>
      </c>
      <c r="R75" s="3">
        <f aca="true" t="shared" si="20" ref="R75:R95">-LN(1-Q75)</f>
        <v>0.0650719967437148</v>
      </c>
      <c r="S75" s="3"/>
      <c r="T75" s="3"/>
    </row>
    <row r="76" spans="1:20" ht="12.75">
      <c r="A76" t="s">
        <v>527</v>
      </c>
      <c r="B76">
        <v>5.33</v>
      </c>
      <c r="C76" s="3">
        <v>0.993</v>
      </c>
      <c r="D76" s="3">
        <f t="shared" si="17"/>
        <v>4.9618451299268225</v>
      </c>
      <c r="E76" s="3">
        <f>LOG(AVERAGE(D75:D76))</f>
        <v>0.5834769389022259</v>
      </c>
      <c r="F76" s="3"/>
      <c r="G76" t="s">
        <v>527</v>
      </c>
      <c r="H76" s="3">
        <v>0.845</v>
      </c>
      <c r="I76" s="3">
        <f t="shared" si="18"/>
        <v>1.8643301620628903</v>
      </c>
      <c r="J76" s="3">
        <f>LOG(AVERAGE(I75:I76))</f>
        <v>0.1498424554872371</v>
      </c>
      <c r="K76" s="3"/>
      <c r="L76" t="s">
        <v>527</v>
      </c>
      <c r="M76" s="3">
        <v>0.148</v>
      </c>
      <c r="N76" s="3">
        <f t="shared" si="19"/>
        <v>0.16016875215282134</v>
      </c>
      <c r="O76" s="3">
        <f>LOG(AVERAGE(N75:N76))</f>
        <v>-0.6460272068179801</v>
      </c>
      <c r="P76" s="3"/>
      <c r="Q76" s="3"/>
      <c r="S76" s="3">
        <f>LOG(AVERAGE(R75:R76))</f>
        <v>-1.1866058666721333</v>
      </c>
      <c r="T76" s="3"/>
    </row>
    <row r="77" spans="1:20" ht="12.75">
      <c r="A77" t="s">
        <v>574</v>
      </c>
      <c r="B77">
        <v>5.02</v>
      </c>
      <c r="C77" s="3">
        <v>0.943</v>
      </c>
      <c r="D77" s="3">
        <f t="shared" si="17"/>
        <v>2.864704011147586</v>
      </c>
      <c r="E77" s="3">
        <f aca="true" t="shared" si="21" ref="E77:E96">LOG(D77)</f>
        <v>0.45707975615822416</v>
      </c>
      <c r="F77" s="3"/>
      <c r="G77" t="s">
        <v>574</v>
      </c>
      <c r="H77" s="3">
        <v>0.626</v>
      </c>
      <c r="I77" s="3">
        <f t="shared" si="18"/>
        <v>0.983499481567605</v>
      </c>
      <c r="J77" s="3">
        <f aca="true" t="shared" si="22" ref="J77:J96">LOG(I77)</f>
        <v>-0.0072258646743727055</v>
      </c>
      <c r="K77" s="3"/>
      <c r="L77" t="s">
        <v>574</v>
      </c>
      <c r="M77" s="3">
        <v>0.282</v>
      </c>
      <c r="N77" s="3">
        <f>-LN(1-M77)</f>
        <v>0.3312857099339129</v>
      </c>
      <c r="O77" s="3">
        <f aca="true" t="shared" si="23" ref="O77:O96">LOG(N77)</f>
        <v>-0.4797972970812041</v>
      </c>
      <c r="P77" s="3"/>
      <c r="Q77" s="3">
        <v>0.035</v>
      </c>
      <c r="R77" s="3">
        <f>-LN(1-Q77)</f>
        <v>0.03562717764315116</v>
      </c>
      <c r="S77" s="3">
        <f aca="true" t="shared" si="24" ref="S77:S96">LOG(R77)</f>
        <v>-1.4482185807518462</v>
      </c>
      <c r="T77" s="3"/>
    </row>
    <row r="78" spans="1:20" ht="12.75">
      <c r="A78" t="s">
        <v>521</v>
      </c>
      <c r="B78">
        <v>5.33</v>
      </c>
      <c r="C78" s="3">
        <v>0.9109999999999999</v>
      </c>
      <c r="D78" s="3">
        <f t="shared" si="17"/>
        <v>2.4191189092499963</v>
      </c>
      <c r="E78" s="3">
        <f t="shared" si="21"/>
        <v>0.38365721617581305</v>
      </c>
      <c r="F78" s="3"/>
      <c r="G78" t="s">
        <v>521</v>
      </c>
      <c r="H78" s="3">
        <v>0.663</v>
      </c>
      <c r="I78" s="3">
        <f t="shared" si="18"/>
        <v>1.0876723486297755</v>
      </c>
      <c r="J78" s="3">
        <f t="shared" si="22"/>
        <v>0.03649808781364221</v>
      </c>
      <c r="K78" s="3"/>
      <c r="L78" t="s">
        <v>521</v>
      </c>
      <c r="M78" s="3">
        <v>0.217</v>
      </c>
      <c r="N78" s="3">
        <f t="shared" si="19"/>
        <v>0.24462258299133394</v>
      </c>
      <c r="O78" s="3">
        <f t="shared" si="23"/>
        <v>-0.6115034523864192</v>
      </c>
      <c r="P78" s="3"/>
      <c r="Q78" s="3">
        <v>0.03</v>
      </c>
      <c r="R78" s="3">
        <f>-LN(1-Q78)</f>
        <v>0.030459207484708574</v>
      </c>
      <c r="S78" s="3">
        <f t="shared" si="24"/>
        <v>-1.5162814007207743</v>
      </c>
      <c r="T78" s="3"/>
    </row>
    <row r="79" spans="1:20" ht="12.75">
      <c r="A79" t="s">
        <v>581</v>
      </c>
      <c r="B79">
        <v>5.3</v>
      </c>
      <c r="C79" s="3">
        <v>0.955</v>
      </c>
      <c r="D79" s="3">
        <f t="shared" si="17"/>
        <v>3.1010927892118163</v>
      </c>
      <c r="E79" s="3">
        <f t="shared" si="21"/>
        <v>0.4915147611550241</v>
      </c>
      <c r="F79" s="3"/>
      <c r="G79" t="s">
        <v>581</v>
      </c>
      <c r="H79" s="3">
        <v>0.755</v>
      </c>
      <c r="I79" s="3">
        <f t="shared" si="18"/>
        <v>1.40649706843741</v>
      </c>
      <c r="J79" s="3">
        <f t="shared" si="22"/>
        <v>0.1481388313019428</v>
      </c>
      <c r="K79" s="3"/>
      <c r="L79" t="s">
        <v>581</v>
      </c>
      <c r="M79" s="3">
        <v>0.19</v>
      </c>
      <c r="N79" s="3">
        <f t="shared" si="19"/>
        <v>0.21072103131565253</v>
      </c>
      <c r="O79" s="3">
        <f t="shared" si="23"/>
        <v>-0.6762921168431828</v>
      </c>
      <c r="P79" s="3"/>
      <c r="Q79" s="3">
        <v>0.01</v>
      </c>
      <c r="R79" s="3">
        <f>-LN(1-Q79)</f>
        <v>0.01005033585350145</v>
      </c>
      <c r="S79" s="3">
        <f t="shared" si="24"/>
        <v>-1.9978194251205788</v>
      </c>
      <c r="T79" s="3"/>
    </row>
    <row r="80" spans="1:20" ht="12.75">
      <c r="A80" t="s">
        <v>286</v>
      </c>
      <c r="B80">
        <v>5.12</v>
      </c>
      <c r="C80" s="3">
        <v>0.835</v>
      </c>
      <c r="D80" s="3">
        <f t="shared" si="17"/>
        <v>1.801809805081556</v>
      </c>
      <c r="E80" s="3">
        <f t="shared" si="21"/>
        <v>0.25570894593106963</v>
      </c>
      <c r="F80" s="3"/>
      <c r="G80" t="s">
        <v>286</v>
      </c>
      <c r="H80" s="3">
        <v>0.436</v>
      </c>
      <c r="I80" s="3">
        <f t="shared" si="18"/>
        <v>0.572701027484078</v>
      </c>
      <c r="J80" s="3">
        <f t="shared" si="22"/>
        <v>-0.24207203771735866</v>
      </c>
      <c r="K80" s="3"/>
      <c r="L80" t="s">
        <v>286</v>
      </c>
      <c r="M80" s="3">
        <v>0.259</v>
      </c>
      <c r="N80" s="3">
        <f t="shared" si="19"/>
        <v>0.29975465368605014</v>
      </c>
      <c r="O80" s="3">
        <f t="shared" si="23"/>
        <v>-0.523234065762113</v>
      </c>
      <c r="P80" s="3"/>
      <c r="Q80" s="3">
        <v>0.14</v>
      </c>
      <c r="R80" s="3">
        <f t="shared" si="20"/>
        <v>0.15082288973458366</v>
      </c>
      <c r="S80" s="3">
        <f t="shared" si="24"/>
        <v>-0.8215327424779075</v>
      </c>
      <c r="T80" s="3"/>
    </row>
    <row r="81" spans="1:20" ht="12.75">
      <c r="A81" t="s">
        <v>579</v>
      </c>
      <c r="B81">
        <v>5.2</v>
      </c>
      <c r="C81" s="3">
        <v>0.945</v>
      </c>
      <c r="D81" s="3">
        <f t="shared" si="17"/>
        <v>2.900422093749665</v>
      </c>
      <c r="E81" s="3">
        <f t="shared" si="21"/>
        <v>0.4624612046738032</v>
      </c>
      <c r="F81" s="3"/>
      <c r="G81" t="s">
        <v>579</v>
      </c>
      <c r="H81" s="3">
        <v>0.44900000000000007</v>
      </c>
      <c r="I81" s="3">
        <f t="shared" si="18"/>
        <v>0.5960204698292226</v>
      </c>
      <c r="J81" s="3">
        <f t="shared" si="22"/>
        <v>-0.22473882451946753</v>
      </c>
      <c r="K81" s="3"/>
      <c r="L81" t="s">
        <v>579</v>
      </c>
      <c r="M81" s="3">
        <v>0.422</v>
      </c>
      <c r="N81" s="3">
        <f t="shared" si="19"/>
        <v>0.5481814103097595</v>
      </c>
      <c r="O81" s="3">
        <f t="shared" si="23"/>
        <v>-0.26107569615292503</v>
      </c>
      <c r="P81" s="3"/>
      <c r="Q81" s="3">
        <v>0.074</v>
      </c>
      <c r="R81" s="3">
        <f t="shared" si="20"/>
        <v>0.07688104433595762</v>
      </c>
      <c r="S81" s="3">
        <f t="shared" si="24"/>
        <v>-1.114180725934423</v>
      </c>
      <c r="T81" s="3"/>
    </row>
    <row r="82" spans="1:20" ht="12.75">
      <c r="A82" t="s">
        <v>291</v>
      </c>
      <c r="B82">
        <v>5.04</v>
      </c>
      <c r="C82" s="3">
        <v>0.966</v>
      </c>
      <c r="D82" s="3">
        <f t="shared" si="17"/>
        <v>3.381394754365975</v>
      </c>
      <c r="E82" s="3">
        <f t="shared" si="21"/>
        <v>0.529095874591639</v>
      </c>
      <c r="F82" s="3"/>
      <c r="G82" t="s">
        <v>291</v>
      </c>
      <c r="H82" s="3">
        <v>0.74</v>
      </c>
      <c r="I82" s="3">
        <f t="shared" si="18"/>
        <v>1.3470736479666092</v>
      </c>
      <c r="J82" s="3">
        <f t="shared" si="22"/>
        <v>0.1293913403637707</v>
      </c>
      <c r="K82" s="3"/>
      <c r="L82" t="s">
        <v>291</v>
      </c>
      <c r="M82" s="3">
        <v>0.208</v>
      </c>
      <c r="N82" s="3">
        <f t="shared" si="19"/>
        <v>0.23319388716771117</v>
      </c>
      <c r="O82" s="3">
        <f t="shared" si="23"/>
        <v>-0.6322828381502746</v>
      </c>
      <c r="P82" s="3"/>
      <c r="Q82" s="3">
        <v>0.018</v>
      </c>
      <c r="R82" s="3">
        <f t="shared" si="20"/>
        <v>0.01816397062767118</v>
      </c>
      <c r="S82" s="3">
        <f t="shared" si="24"/>
        <v>-1.7407892090530925</v>
      </c>
      <c r="T82" s="3"/>
    </row>
    <row r="83" spans="1:20" ht="12.75">
      <c r="A83" t="s">
        <v>288</v>
      </c>
      <c r="B83">
        <v>5.89</v>
      </c>
      <c r="C83" s="3">
        <v>0.8420000000000001</v>
      </c>
      <c r="D83" s="3">
        <f t="shared" si="17"/>
        <v>1.8451602459551708</v>
      </c>
      <c r="E83" s="3">
        <f t="shared" si="21"/>
        <v>0.26603408914656484</v>
      </c>
      <c r="F83" s="3"/>
      <c r="G83" t="s">
        <v>288</v>
      </c>
      <c r="H83" s="3">
        <v>0.395</v>
      </c>
      <c r="I83" s="3">
        <f t="shared" si="18"/>
        <v>0.5025268209512956</v>
      </c>
      <c r="J83" s="3">
        <f t="shared" si="22"/>
        <v>-0.29884075404618615</v>
      </c>
      <c r="K83" s="3"/>
      <c r="L83" t="s">
        <v>288</v>
      </c>
      <c r="M83" s="3">
        <v>0.371</v>
      </c>
      <c r="N83" s="3">
        <f t="shared" si="19"/>
        <v>0.4636240222816965</v>
      </c>
      <c r="O83" s="3">
        <f t="shared" si="23"/>
        <v>-0.3338340695287673</v>
      </c>
      <c r="P83" s="3"/>
      <c r="Q83" s="3">
        <v>0.076</v>
      </c>
      <c r="R83" s="3">
        <f t="shared" si="20"/>
        <v>0.07904320734045286</v>
      </c>
      <c r="S83" s="3">
        <f t="shared" si="24"/>
        <v>-1.1021354456724604</v>
      </c>
      <c r="T83" s="3"/>
    </row>
    <row r="84" spans="1:20" ht="12.75">
      <c r="A84" t="s">
        <v>580</v>
      </c>
      <c r="B84">
        <v>5.3</v>
      </c>
      <c r="C84" s="3">
        <v>0.917</v>
      </c>
      <c r="D84" s="3">
        <f t="shared" si="17"/>
        <v>2.4889146711855394</v>
      </c>
      <c r="E84" s="3">
        <f t="shared" si="21"/>
        <v>0.3960100077100407</v>
      </c>
      <c r="F84" s="3"/>
      <c r="G84" t="s">
        <v>580</v>
      </c>
      <c r="H84" s="3">
        <v>0.635</v>
      </c>
      <c r="I84" s="3">
        <f t="shared" si="18"/>
        <v>1.0078579253996456</v>
      </c>
      <c r="J84" s="3">
        <f t="shared" si="22"/>
        <v>0.0033993152804063266</v>
      </c>
      <c r="K84" s="3"/>
      <c r="L84" t="s">
        <v>580</v>
      </c>
      <c r="M84" s="3">
        <v>0.254</v>
      </c>
      <c r="N84" s="3">
        <f t="shared" si="19"/>
        <v>0.29302967877837627</v>
      </c>
      <c r="O84" s="3">
        <f t="shared" si="23"/>
        <v>-0.5330883909874446</v>
      </c>
      <c r="P84" s="3"/>
      <c r="Q84" s="3">
        <v>0.028</v>
      </c>
      <c r="R84" s="3">
        <f>-LN(1-Q84)</f>
        <v>0.028399474521698</v>
      </c>
      <c r="S84" s="3">
        <f t="shared" si="24"/>
        <v>-1.546689695672618</v>
      </c>
      <c r="T84" s="3"/>
    </row>
    <row r="85" spans="1:20" ht="12.75">
      <c r="A85" t="s">
        <v>582</v>
      </c>
      <c r="B85">
        <v>5.1</v>
      </c>
      <c r="C85" s="3">
        <v>0.968</v>
      </c>
      <c r="D85" s="3">
        <f t="shared" si="17"/>
        <v>3.44201937618241</v>
      </c>
      <c r="E85" s="3">
        <f t="shared" si="21"/>
        <v>0.5368133107752182</v>
      </c>
      <c r="F85" s="3"/>
      <c r="G85" t="s">
        <v>582</v>
      </c>
      <c r="H85" s="3">
        <v>0.62</v>
      </c>
      <c r="I85" s="3">
        <f t="shared" si="18"/>
        <v>0.9675840262617055</v>
      </c>
      <c r="J85" s="3">
        <f t="shared" si="22"/>
        <v>-0.014311309970823463</v>
      </c>
      <c r="K85" s="3"/>
      <c r="L85" t="s">
        <v>582</v>
      </c>
      <c r="M85" s="3">
        <v>0.286</v>
      </c>
      <c r="N85" s="3">
        <f t="shared" si="19"/>
        <v>0.3368723166425527</v>
      </c>
      <c r="O85" s="3">
        <f t="shared" si="23"/>
        <v>-0.4725346768294048</v>
      </c>
      <c r="P85" s="3"/>
      <c r="Q85" s="3">
        <v>0.062</v>
      </c>
      <c r="R85" s="3">
        <f t="shared" si="20"/>
        <v>0.06400532997591245</v>
      </c>
      <c r="S85" s="3">
        <f t="shared" si="24"/>
        <v>-1.1937838590982317</v>
      </c>
      <c r="T85" s="3"/>
    </row>
    <row r="86" spans="1:20" ht="12.75">
      <c r="A86" t="s">
        <v>549</v>
      </c>
      <c r="B86">
        <v>5.4</v>
      </c>
      <c r="C86" s="3">
        <v>0.971</v>
      </c>
      <c r="D86" s="3">
        <f t="shared" si="17"/>
        <v>3.5404594489956622</v>
      </c>
      <c r="E86" s="3">
        <f t="shared" si="21"/>
        <v>0.5490596245161741</v>
      </c>
      <c r="F86" s="3"/>
      <c r="G86" t="s">
        <v>549</v>
      </c>
      <c r="H86" s="3">
        <v>0.793</v>
      </c>
      <c r="I86" s="3">
        <f t="shared" si="18"/>
        <v>1.5750364857167682</v>
      </c>
      <c r="J86" s="3">
        <f t="shared" si="22"/>
        <v>0.19729061867287537</v>
      </c>
      <c r="K86" s="3"/>
      <c r="L86" t="s">
        <v>549</v>
      </c>
      <c r="M86" s="3">
        <v>0.155</v>
      </c>
      <c r="N86" s="3">
        <f t="shared" si="19"/>
        <v>0.16841865162496322</v>
      </c>
      <c r="O86" s="3">
        <f t="shared" si="23"/>
        <v>-0.7736098139691049</v>
      </c>
      <c r="P86" s="3"/>
      <c r="Q86" s="3">
        <v>0.023</v>
      </c>
      <c r="R86" s="3">
        <f t="shared" si="20"/>
        <v>0.023268626939354334</v>
      </c>
      <c r="S86" s="3">
        <f t="shared" si="24"/>
        <v>-1.6332292432820419</v>
      </c>
      <c r="T86" s="3"/>
    </row>
    <row r="87" spans="1:20" ht="12.75">
      <c r="A87" t="s">
        <v>294</v>
      </c>
      <c r="B87">
        <v>5.08</v>
      </c>
      <c r="C87" s="3">
        <v>0.966</v>
      </c>
      <c r="D87" s="3">
        <f t="shared" si="17"/>
        <v>3.381394754365975</v>
      </c>
      <c r="E87" s="3">
        <f t="shared" si="21"/>
        <v>0.529095874591639</v>
      </c>
      <c r="F87" s="3"/>
      <c r="G87" t="s">
        <v>294</v>
      </c>
      <c r="H87" s="3">
        <v>0.768</v>
      </c>
      <c r="I87" s="3">
        <f t="shared" si="18"/>
        <v>1.4610179073158271</v>
      </c>
      <c r="J87" s="3">
        <f t="shared" si="22"/>
        <v>0.1646555390012294</v>
      </c>
      <c r="K87" s="3"/>
      <c r="L87" t="s">
        <v>294</v>
      </c>
      <c r="M87" s="3">
        <v>0.172</v>
      </c>
      <c r="N87" s="3">
        <f t="shared" si="19"/>
        <v>0.18874212459687728</v>
      </c>
      <c r="O87" s="3">
        <f t="shared" si="23"/>
        <v>-0.7241311605754579</v>
      </c>
      <c r="P87" s="3"/>
      <c r="Q87" s="3">
        <v>0.026</v>
      </c>
      <c r="R87" s="3">
        <f t="shared" si="20"/>
        <v>0.026343975339601977</v>
      </c>
      <c r="S87" s="3">
        <f t="shared" si="24"/>
        <v>-1.5793186888357704</v>
      </c>
      <c r="T87" s="3"/>
    </row>
    <row r="88" spans="1:20" ht="12.75">
      <c r="A88" t="s">
        <v>577</v>
      </c>
      <c r="B88">
        <v>5.2</v>
      </c>
      <c r="C88" s="3">
        <v>0.972</v>
      </c>
      <c r="D88" s="3">
        <f t="shared" si="17"/>
        <v>3.575550768806932</v>
      </c>
      <c r="E88" s="3">
        <f t="shared" si="21"/>
        <v>0.5533429489147628</v>
      </c>
      <c r="F88" s="3"/>
      <c r="G88" t="s">
        <v>577</v>
      </c>
      <c r="H88" s="3">
        <v>0.7210000000000001</v>
      </c>
      <c r="I88" s="3">
        <f t="shared" si="18"/>
        <v>1.2765434971607716</v>
      </c>
      <c r="J88" s="3">
        <f t="shared" si="22"/>
        <v>0.10603561761661662</v>
      </c>
      <c r="K88" s="3"/>
      <c r="L88" t="s">
        <v>577</v>
      </c>
      <c r="M88" s="3">
        <v>0.251</v>
      </c>
      <c r="N88" s="3">
        <f t="shared" si="19"/>
        <v>0.2890162954649176</v>
      </c>
      <c r="O88" s="3">
        <f t="shared" si="23"/>
        <v>-0.5390776699390244</v>
      </c>
      <c r="P88" s="3"/>
      <c r="Q88" s="3"/>
      <c r="S88" s="3"/>
      <c r="T88" s="3"/>
    </row>
    <row r="89" spans="1:20" ht="12.75">
      <c r="A89" t="s">
        <v>573</v>
      </c>
      <c r="B89">
        <v>5.48</v>
      </c>
      <c r="C89" s="3"/>
      <c r="D89" s="3"/>
      <c r="E89" s="3"/>
      <c r="F89" s="3"/>
      <c r="G89" t="s">
        <v>573</v>
      </c>
      <c r="H89" s="3">
        <v>0.511</v>
      </c>
      <c r="I89" s="3">
        <f t="shared" si="18"/>
        <v>0.715392789507265</v>
      </c>
      <c r="J89" s="3">
        <f t="shared" si="22"/>
        <v>-0.14545544144870387</v>
      </c>
      <c r="K89" s="3"/>
      <c r="L89" t="s">
        <v>573</v>
      </c>
      <c r="M89" s="3">
        <v>0.469</v>
      </c>
      <c r="N89" s="3">
        <f t="shared" si="19"/>
        <v>0.6329932577401982</v>
      </c>
      <c r="O89" s="3">
        <f t="shared" si="23"/>
        <v>-0.19860091579910893</v>
      </c>
      <c r="P89" s="3"/>
      <c r="Q89" s="3">
        <v>0.02</v>
      </c>
      <c r="R89" s="3">
        <f t="shared" si="20"/>
        <v>0.020202707317519466</v>
      </c>
      <c r="S89" s="3">
        <f t="shared" si="24"/>
        <v>-1.6945904278665125</v>
      </c>
      <c r="T89" s="3"/>
    </row>
    <row r="90" spans="1:20" ht="12.75">
      <c r="A90" t="s">
        <v>289</v>
      </c>
      <c r="B90">
        <v>5.05</v>
      </c>
      <c r="C90" s="3">
        <v>0.976</v>
      </c>
      <c r="D90" s="3">
        <f aca="true" t="shared" si="25" ref="D90:D99">-LN(1-C90)</f>
        <v>3.7297014486341906</v>
      </c>
      <c r="E90" s="3">
        <f t="shared" si="21"/>
        <v>0.5716740692349579</v>
      </c>
      <c r="F90" s="3"/>
      <c r="G90" t="s">
        <v>289</v>
      </c>
      <c r="H90" s="3">
        <v>0.816</v>
      </c>
      <c r="I90" s="3">
        <f t="shared" si="18"/>
        <v>1.6928195213731512</v>
      </c>
      <c r="J90" s="3">
        <f t="shared" si="22"/>
        <v>0.22861065861109053</v>
      </c>
      <c r="K90" s="3"/>
      <c r="L90" t="s">
        <v>289</v>
      </c>
      <c r="M90" s="3">
        <v>0.112</v>
      </c>
      <c r="N90" s="3">
        <f t="shared" si="19"/>
        <v>0.11878353598996697</v>
      </c>
      <c r="O90" s="3">
        <f t="shared" si="23"/>
        <v>-0.9252437506360855</v>
      </c>
      <c r="P90" s="3"/>
      <c r="Q90" s="3">
        <v>0.048</v>
      </c>
      <c r="R90" s="3">
        <f t="shared" si="20"/>
        <v>0.04919024419077179</v>
      </c>
      <c r="S90" s="3">
        <f t="shared" si="24"/>
        <v>-1.3081210215056922</v>
      </c>
      <c r="T90" s="3"/>
    </row>
    <row r="91" spans="1:20" ht="12.75">
      <c r="A91" t="s">
        <v>358</v>
      </c>
      <c r="B91">
        <v>5.1</v>
      </c>
      <c r="C91" s="3">
        <v>0.961</v>
      </c>
      <c r="D91" s="3">
        <f t="shared" si="25"/>
        <v>3.2441936328524896</v>
      </c>
      <c r="E91" s="3">
        <f t="shared" si="21"/>
        <v>0.5111067676012933</v>
      </c>
      <c r="F91" s="3"/>
      <c r="G91" t="s">
        <v>358</v>
      </c>
      <c r="H91" s="3">
        <v>0.766</v>
      </c>
      <c r="I91" s="3">
        <f t="shared" si="18"/>
        <v>1.4524341636244358</v>
      </c>
      <c r="J91" s="3">
        <f t="shared" si="22"/>
        <v>0.16209645567673794</v>
      </c>
      <c r="K91" s="3"/>
      <c r="L91" t="s">
        <v>358</v>
      </c>
      <c r="M91" s="3">
        <v>0.16</v>
      </c>
      <c r="N91" s="3">
        <f t="shared" si="19"/>
        <v>0.1743533871447778</v>
      </c>
      <c r="O91" s="3">
        <f t="shared" si="23"/>
        <v>-0.7585696112131687</v>
      </c>
      <c r="P91" s="3"/>
      <c r="Q91" s="3">
        <v>0.035</v>
      </c>
      <c r="R91" s="3">
        <f t="shared" si="20"/>
        <v>0.03562717764315116</v>
      </c>
      <c r="S91" s="3">
        <f t="shared" si="24"/>
        <v>-1.4482185807518462</v>
      </c>
      <c r="T91" s="3"/>
    </row>
    <row r="92" spans="1:20" ht="12.75">
      <c r="A92" t="s">
        <v>522</v>
      </c>
      <c r="B92">
        <v>5.03</v>
      </c>
      <c r="C92" s="3">
        <v>0.9620000000000001</v>
      </c>
      <c r="D92" s="3">
        <f t="shared" si="25"/>
        <v>3.2701691192557534</v>
      </c>
      <c r="E92" s="3">
        <f t="shared" si="21"/>
        <v>0.5145702131068691</v>
      </c>
      <c r="F92" s="3"/>
      <c r="G92" t="s">
        <v>522</v>
      </c>
      <c r="H92" s="3">
        <v>0.65</v>
      </c>
      <c r="I92" s="3">
        <f t="shared" si="18"/>
        <v>1.0498221244986778</v>
      </c>
      <c r="J92" s="3">
        <f t="shared" si="22"/>
        <v>0.0211157210768562</v>
      </c>
      <c r="K92" s="3"/>
      <c r="L92" t="s">
        <v>522</v>
      </c>
      <c r="M92" s="3">
        <v>0.185</v>
      </c>
      <c r="N92" s="3">
        <f>-LN(1-M92)</f>
        <v>0.2045671657412744</v>
      </c>
      <c r="O92" s="3">
        <f t="shared" si="23"/>
        <v>-0.6891640719029761</v>
      </c>
      <c r="P92" s="3"/>
      <c r="Q92" s="3">
        <v>0.124</v>
      </c>
      <c r="R92" s="3">
        <f>-LN(1-Q92)</f>
        <v>0.13238918804574562</v>
      </c>
      <c r="S92" s="3">
        <f t="shared" si="24"/>
        <v>-0.8781474813903137</v>
      </c>
      <c r="T92" s="3"/>
    </row>
    <row r="93" spans="1:20" ht="12.75">
      <c r="A93" t="s">
        <v>523</v>
      </c>
      <c r="B93">
        <v>5.76</v>
      </c>
      <c r="C93" s="3">
        <v>0.972</v>
      </c>
      <c r="D93" s="3">
        <f t="shared" si="25"/>
        <v>3.575550768806932</v>
      </c>
      <c r="E93" s="3">
        <f t="shared" si="21"/>
        <v>0.5533429489147628</v>
      </c>
      <c r="F93" s="3"/>
      <c r="G93" t="s">
        <v>523</v>
      </c>
      <c r="H93" s="3">
        <v>0.7120000000000001</v>
      </c>
      <c r="I93" s="3">
        <f t="shared" si="18"/>
        <v>1.2447947988461914</v>
      </c>
      <c r="J93" s="3">
        <f t="shared" si="22"/>
        <v>0.09509776502710657</v>
      </c>
      <c r="K93" s="3"/>
      <c r="L93" t="s">
        <v>523</v>
      </c>
      <c r="M93" s="3">
        <v>0.242</v>
      </c>
      <c r="N93" s="3">
        <f t="shared" si="19"/>
        <v>0.2770718933397654</v>
      </c>
      <c r="O93" s="3">
        <f t="shared" si="23"/>
        <v>-0.5574075275795565</v>
      </c>
      <c r="P93" s="3"/>
      <c r="Q93" s="3">
        <v>0.018</v>
      </c>
      <c r="R93" s="3">
        <f t="shared" si="20"/>
        <v>0.01816397062767118</v>
      </c>
      <c r="S93" s="3">
        <f t="shared" si="24"/>
        <v>-1.7407892090530925</v>
      </c>
      <c r="T93" s="3"/>
    </row>
    <row r="94" spans="1:20" ht="12.75">
      <c r="A94" t="s">
        <v>524</v>
      </c>
      <c r="B94">
        <v>5.04</v>
      </c>
      <c r="C94" s="3">
        <v>0.955</v>
      </c>
      <c r="D94" s="3">
        <f t="shared" si="25"/>
        <v>3.1010927892118163</v>
      </c>
      <c r="E94" s="3">
        <f t="shared" si="21"/>
        <v>0.4915147611550241</v>
      </c>
      <c r="F94" s="3"/>
      <c r="G94" t="s">
        <v>524</v>
      </c>
      <c r="H94" s="3">
        <v>0.41200000000000003</v>
      </c>
      <c r="I94" s="3">
        <f t="shared" si="18"/>
        <v>0.5310283310835102</v>
      </c>
      <c r="J94" s="3">
        <f t="shared" si="22"/>
        <v>-0.27488230809930203</v>
      </c>
      <c r="K94" s="3"/>
      <c r="L94" t="s">
        <v>524</v>
      </c>
      <c r="M94" s="3">
        <v>0.517</v>
      </c>
      <c r="N94" s="3">
        <f t="shared" si="19"/>
        <v>0.7277386253295643</v>
      </c>
      <c r="O94" s="3">
        <f t="shared" si="23"/>
        <v>-0.1380245739279144</v>
      </c>
      <c r="P94" s="3"/>
      <c r="Q94" s="3">
        <v>0.027</v>
      </c>
      <c r="R94" s="3">
        <f t="shared" si="20"/>
        <v>0.027371196796132015</v>
      </c>
      <c r="S94" s="3">
        <f t="shared" si="24"/>
        <v>-1.5627062127983993</v>
      </c>
      <c r="T94" s="3"/>
    </row>
    <row r="95" spans="1:20" ht="12.75">
      <c r="A95" t="s">
        <v>290</v>
      </c>
      <c r="B95">
        <v>5.15</v>
      </c>
      <c r="C95" s="3">
        <v>0.982</v>
      </c>
      <c r="D95" s="3">
        <f t="shared" si="25"/>
        <v>4.017383521085971</v>
      </c>
      <c r="E95" s="3">
        <f t="shared" si="21"/>
        <v>0.6039432938030351</v>
      </c>
      <c r="F95" s="3"/>
      <c r="G95" t="s">
        <v>290</v>
      </c>
      <c r="H95" s="3">
        <v>0.734</v>
      </c>
      <c r="I95" s="3">
        <f t="shared" si="18"/>
        <v>1.324258970200438</v>
      </c>
      <c r="J95" s="3">
        <f t="shared" si="22"/>
        <v>0.12197292342025187</v>
      </c>
      <c r="K95" s="3"/>
      <c r="L95" t="s">
        <v>290</v>
      </c>
      <c r="M95" s="3">
        <v>0.221</v>
      </c>
      <c r="N95" s="3">
        <f t="shared" si="19"/>
        <v>0.24974423311138877</v>
      </c>
      <c r="O95" s="3">
        <f t="shared" si="23"/>
        <v>-0.6025045313575061</v>
      </c>
      <c r="P95" s="3"/>
      <c r="Q95" s="3">
        <v>0.027</v>
      </c>
      <c r="R95" s="3">
        <f t="shared" si="20"/>
        <v>0.027371196796132015</v>
      </c>
      <c r="S95" s="3">
        <f t="shared" si="24"/>
        <v>-1.5627062127983993</v>
      </c>
      <c r="T95" s="3"/>
    </row>
    <row r="96" spans="1:20" ht="12.75">
      <c r="A96" t="s">
        <v>525</v>
      </c>
      <c r="B96">
        <v>5.19</v>
      </c>
      <c r="C96" s="3">
        <v>0.9790000000000001</v>
      </c>
      <c r="D96" s="3">
        <f t="shared" si="25"/>
        <v>3.8632328412587187</v>
      </c>
      <c r="E96" s="3">
        <f t="shared" si="21"/>
        <v>0.5869508843359679</v>
      </c>
      <c r="F96" s="3"/>
      <c r="G96" t="s">
        <v>525</v>
      </c>
      <c r="H96" s="3">
        <v>0.449</v>
      </c>
      <c r="I96" s="3">
        <f t="shared" si="18"/>
        <v>0.5960204698292226</v>
      </c>
      <c r="J96" s="3">
        <f t="shared" si="22"/>
        <v>-0.22473882451946753</v>
      </c>
      <c r="K96" s="3"/>
      <c r="L96" t="s">
        <v>525</v>
      </c>
      <c r="M96" s="3">
        <v>0.488</v>
      </c>
      <c r="N96" s="3">
        <f t="shared" si="19"/>
        <v>0.6694306539426292</v>
      </c>
      <c r="O96" s="3">
        <f t="shared" si="23"/>
        <v>-0.17429440471603175</v>
      </c>
      <c r="P96" s="3"/>
      <c r="Q96" s="3">
        <v>0.042</v>
      </c>
      <c r="R96" s="3">
        <f>-LN(1-Q96)</f>
        <v>0.04290750101127654</v>
      </c>
      <c r="S96" s="3">
        <f t="shared" si="24"/>
        <v>-1.3674667786068497</v>
      </c>
      <c r="T96" s="3"/>
    </row>
    <row r="97" spans="1:20" ht="12.75">
      <c r="A97" t="s">
        <v>526</v>
      </c>
      <c r="B97">
        <v>5</v>
      </c>
      <c r="C97" s="3">
        <v>0.958</v>
      </c>
      <c r="D97" s="3">
        <f t="shared" si="25"/>
        <v>3.170085660698768</v>
      </c>
      <c r="E97" s="3"/>
      <c r="F97" s="46">
        <f>COUNT(E74:E99)</f>
        <v>22</v>
      </c>
      <c r="G97" t="s">
        <v>526</v>
      </c>
      <c r="H97" s="3">
        <v>0.3</v>
      </c>
      <c r="I97" s="3">
        <f t="shared" si="18"/>
        <v>0.3566749439387324</v>
      </c>
      <c r="J97" s="3"/>
      <c r="K97" s="46">
        <f>COUNT(J74:J99)</f>
        <v>23</v>
      </c>
      <c r="L97" t="s">
        <v>526</v>
      </c>
      <c r="M97" s="3">
        <v>0.642</v>
      </c>
      <c r="N97" s="3">
        <f>-LN(1-M97)</f>
        <v>1.027222292581437</v>
      </c>
      <c r="O97" s="3"/>
      <c r="P97" s="46">
        <f>COUNT(O74:O99)</f>
        <v>23</v>
      </c>
      <c r="Q97" s="3">
        <v>0.02</v>
      </c>
      <c r="R97" s="3">
        <f>-LN(1-Q97)</f>
        <v>0.020202707317519466</v>
      </c>
      <c r="S97" s="3"/>
      <c r="T97" s="46">
        <f>COUNT(S74:S99)</f>
        <v>22</v>
      </c>
    </row>
    <row r="98" spans="1:20" ht="12.75">
      <c r="A98" t="s">
        <v>526</v>
      </c>
      <c r="B98">
        <v>5.1</v>
      </c>
      <c r="C98" s="3">
        <v>0.9790000000000001</v>
      </c>
      <c r="D98" s="3">
        <f t="shared" si="25"/>
        <v>3.8632328412587187</v>
      </c>
      <c r="E98" s="3"/>
      <c r="F98" s="162" t="s">
        <v>341</v>
      </c>
      <c r="G98" t="s">
        <v>526</v>
      </c>
      <c r="H98" s="3">
        <v>0.604</v>
      </c>
      <c r="I98" s="3">
        <f t="shared" si="18"/>
        <v>0.9263410677276565</v>
      </c>
      <c r="J98" s="3"/>
      <c r="K98" s="162" t="s">
        <v>341</v>
      </c>
      <c r="L98" t="s">
        <v>526</v>
      </c>
      <c r="M98" s="3">
        <v>0.322</v>
      </c>
      <c r="N98" s="3">
        <f t="shared" si="19"/>
        <v>0.3886079910417416</v>
      </c>
      <c r="O98" s="3"/>
      <c r="P98" s="162" t="s">
        <v>341</v>
      </c>
      <c r="Q98" s="3">
        <v>0.053</v>
      </c>
      <c r="R98" s="3">
        <f>-LN(1-Q98)</f>
        <v>0.054456185796058855</v>
      </c>
      <c r="S98" s="3"/>
      <c r="T98" s="162" t="s">
        <v>341</v>
      </c>
    </row>
    <row r="99" spans="1:20" ht="12.75">
      <c r="A99" t="s">
        <v>526</v>
      </c>
      <c r="B99">
        <v>5.14</v>
      </c>
      <c r="C99" s="3">
        <v>0.9690000000000001</v>
      </c>
      <c r="D99" s="3">
        <f t="shared" si="25"/>
        <v>3.4737680744969937</v>
      </c>
      <c r="E99" s="3">
        <f>LOG(AVERAGE(D97:D99))</f>
        <v>0.5443610560589969</v>
      </c>
      <c r="F99" s="178">
        <f>STDEV(E76:E99)</f>
        <v>0.09625182192467649</v>
      </c>
      <c r="G99" t="s">
        <v>526</v>
      </c>
      <c r="H99" s="3">
        <v>0.6859999999999999</v>
      </c>
      <c r="I99" s="3">
        <f t="shared" si="18"/>
        <v>1.1583622930738835</v>
      </c>
      <c r="J99" s="3">
        <f>LOG(AVERAGE(I97:I99))</f>
        <v>-0.08948617381485764</v>
      </c>
      <c r="K99" s="178">
        <f>STDEV(J76:J99)</f>
        <v>0.1685353739661274</v>
      </c>
      <c r="L99" t="s">
        <v>526</v>
      </c>
      <c r="M99" s="3">
        <v>0.258</v>
      </c>
      <c r="N99" s="3">
        <f t="shared" si="19"/>
        <v>0.2984060358147566</v>
      </c>
      <c r="O99" s="3">
        <f>LOG(AVERAGE(N97:N99))</f>
        <v>-0.24305056248064397</v>
      </c>
      <c r="P99" s="178">
        <f>STDEV(O76:O99)</f>
        <v>0.21565401039219462</v>
      </c>
      <c r="Q99" s="3">
        <v>0.025</v>
      </c>
      <c r="R99" s="3">
        <f>-LN(1-Q99)</f>
        <v>0.025317807984289894</v>
      </c>
      <c r="S99" s="3">
        <f>LOG(AVERAGE(R97:R99))</f>
        <v>-1.4772224523553916</v>
      </c>
      <c r="T99" s="178">
        <f>STDEV(S76:S99)</f>
        <v>0.2935664768599104</v>
      </c>
    </row>
    <row r="103" spans="1:18" ht="12.75">
      <c r="A103" t="s">
        <v>289</v>
      </c>
      <c r="B103">
        <v>6.76</v>
      </c>
      <c r="C103" s="3">
        <v>0.973</v>
      </c>
      <c r="D103" s="3">
        <f aca="true" t="shared" si="26" ref="D103:D108">-LN(1-C103)</f>
        <v>3.6119184129778072</v>
      </c>
      <c r="E103" s="3"/>
      <c r="F103" s="3"/>
      <c r="G103" t="s">
        <v>289</v>
      </c>
      <c r="H103" s="3">
        <v>0.7789999999999999</v>
      </c>
      <c r="I103" s="3">
        <f aca="true" t="shared" si="27" ref="I103:I108">-LN(1-H103)</f>
        <v>1.509592577464384</v>
      </c>
      <c r="J103" s="3"/>
      <c r="L103" t="s">
        <v>289</v>
      </c>
      <c r="M103" s="3">
        <v>0.175</v>
      </c>
      <c r="N103" s="3">
        <f aca="true" t="shared" si="28" ref="N103:N108">-LN(1-M103)</f>
        <v>0.1923718926474561</v>
      </c>
      <c r="O103" s="3"/>
      <c r="P103" s="3"/>
      <c r="Q103" s="3">
        <v>0.019</v>
      </c>
      <c r="R103" s="3">
        <f aca="true" t="shared" si="29" ref="R103:R108">-LN(1-Q103)</f>
        <v>0.01918281941677399</v>
      </c>
    </row>
    <row r="104" spans="1:18" ht="12.75">
      <c r="A104" t="s">
        <v>526</v>
      </c>
      <c r="B104">
        <v>6.8</v>
      </c>
      <c r="C104" s="3">
        <v>0.9790000000000001</v>
      </c>
      <c r="D104" s="3">
        <f t="shared" si="26"/>
        <v>3.8632328412587187</v>
      </c>
      <c r="E104" s="3"/>
      <c r="F104" s="3"/>
      <c r="G104" t="s">
        <v>526</v>
      </c>
      <c r="H104" s="3">
        <v>0.8140000000000001</v>
      </c>
      <c r="I104" s="3">
        <f t="shared" si="27"/>
        <v>1.682008605268936</v>
      </c>
      <c r="J104" s="3"/>
      <c r="L104" t="s">
        <v>526</v>
      </c>
      <c r="M104" s="3">
        <v>0.163</v>
      </c>
      <c r="N104" s="3">
        <f t="shared" si="28"/>
        <v>0.17793120849266178</v>
      </c>
      <c r="O104" s="3"/>
      <c r="P104" s="3"/>
      <c r="Q104" s="3">
        <v>0.002</v>
      </c>
      <c r="R104" s="3">
        <f t="shared" si="29"/>
        <v>0.002002002670673079</v>
      </c>
    </row>
    <row r="105" spans="1:18" ht="12.75">
      <c r="A105" t="s">
        <v>576</v>
      </c>
      <c r="B105">
        <v>7.08</v>
      </c>
      <c r="C105" s="3">
        <v>0.927</v>
      </c>
      <c r="D105" s="3">
        <f t="shared" si="26"/>
        <v>2.6172958378337468</v>
      </c>
      <c r="E105" s="3"/>
      <c r="F105" s="3"/>
      <c r="G105" t="s">
        <v>576</v>
      </c>
      <c r="H105" s="3">
        <v>0.752</v>
      </c>
      <c r="I105" s="3">
        <f t="shared" si="27"/>
        <v>1.3943265328171548</v>
      </c>
      <c r="J105" s="3"/>
      <c r="L105" t="s">
        <v>576</v>
      </c>
      <c r="M105" s="3">
        <v>0.166</v>
      </c>
      <c r="N105" s="3">
        <f t="shared" si="28"/>
        <v>0.18152187662339034</v>
      </c>
      <c r="O105" s="3"/>
      <c r="P105" s="3"/>
      <c r="Q105" s="3">
        <v>0.009</v>
      </c>
      <c r="R105" s="3">
        <f t="shared" si="29"/>
        <v>0.009040744652149069</v>
      </c>
    </row>
    <row r="106" spans="1:18" ht="12.75">
      <c r="A106" t="s">
        <v>288</v>
      </c>
      <c r="B106">
        <v>7.16</v>
      </c>
      <c r="C106" s="3">
        <v>0.96</v>
      </c>
      <c r="D106" s="3">
        <f t="shared" si="26"/>
        <v>3.2188758248681997</v>
      </c>
      <c r="E106" s="3"/>
      <c r="F106" s="3"/>
      <c r="G106" t="s">
        <v>288</v>
      </c>
      <c r="H106" s="3">
        <v>0.597</v>
      </c>
      <c r="I106" s="3">
        <f t="shared" si="27"/>
        <v>0.908818717035454</v>
      </c>
      <c r="J106" s="3"/>
      <c r="L106" t="s">
        <v>288</v>
      </c>
      <c r="M106" s="3">
        <v>0.352</v>
      </c>
      <c r="N106" s="3">
        <f t="shared" si="28"/>
        <v>0.4338645826298623</v>
      </c>
      <c r="O106" s="3"/>
      <c r="P106" s="3"/>
      <c r="Q106" s="3">
        <v>0.011</v>
      </c>
      <c r="R106" s="3">
        <f t="shared" si="29"/>
        <v>0.011060947359424948</v>
      </c>
    </row>
    <row r="107" spans="1:18" ht="12.75">
      <c r="A107" t="s">
        <v>523</v>
      </c>
      <c r="B107">
        <v>7.25</v>
      </c>
      <c r="C107" s="3">
        <v>0.987</v>
      </c>
      <c r="D107" s="3">
        <f t="shared" si="26"/>
        <v>4.3428059215206</v>
      </c>
      <c r="E107" s="3"/>
      <c r="F107" s="3"/>
      <c r="G107" t="s">
        <v>523</v>
      </c>
      <c r="H107" s="3">
        <v>0.747</v>
      </c>
      <c r="I107" s="3">
        <f t="shared" si="27"/>
        <v>1.374365790254617</v>
      </c>
      <c r="J107" s="3"/>
      <c r="L107" t="s">
        <v>523</v>
      </c>
      <c r="M107" s="3">
        <v>0.23</v>
      </c>
      <c r="N107" s="3">
        <f t="shared" si="28"/>
        <v>0.2613647641344075</v>
      </c>
      <c r="O107" s="3"/>
      <c r="P107" s="3"/>
      <c r="Q107" s="3">
        <v>0.01</v>
      </c>
      <c r="R107" s="3">
        <f t="shared" si="29"/>
        <v>0.01005033585350145</v>
      </c>
    </row>
    <row r="108" spans="1:18" ht="12.75">
      <c r="A108" t="s">
        <v>288</v>
      </c>
      <c r="B108">
        <v>7.9</v>
      </c>
      <c r="C108" s="3">
        <v>0.93</v>
      </c>
      <c r="D108" s="3">
        <f t="shared" si="26"/>
        <v>2.659260036932779</v>
      </c>
      <c r="E108" s="3"/>
      <c r="F108" s="3"/>
      <c r="G108" t="s">
        <v>288</v>
      </c>
      <c r="H108" s="3">
        <v>0.64</v>
      </c>
      <c r="I108" s="3">
        <f t="shared" si="27"/>
        <v>1.0216512475319814</v>
      </c>
      <c r="J108" s="3"/>
      <c r="L108" t="s">
        <v>288</v>
      </c>
      <c r="M108" s="3">
        <v>0.287</v>
      </c>
      <c r="N108" s="3">
        <f t="shared" si="28"/>
        <v>0.338273858567841</v>
      </c>
      <c r="O108" s="3"/>
      <c r="P108" s="3"/>
      <c r="Q108" s="3">
        <v>0.003</v>
      </c>
      <c r="R108" s="3">
        <f t="shared" si="29"/>
        <v>0.0030045090202987243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4" sqref="D14"/>
    </sheetView>
  </sheetViews>
  <sheetFormatPr defaultColWidth="11.00390625" defaultRowHeight="12"/>
  <sheetData>
    <row r="1" ht="18.75">
      <c r="A1" s="37" t="s">
        <v>368</v>
      </c>
    </row>
    <row r="2" spans="1:7" ht="12.75">
      <c r="A2" s="42" t="s">
        <v>154</v>
      </c>
      <c r="B2" s="42"/>
      <c r="C2" s="42"/>
      <c r="D2" s="42"/>
      <c r="E2" s="42"/>
      <c r="F2" s="42"/>
      <c r="G2" s="42"/>
    </row>
    <row r="3" spans="1:7" ht="12.75">
      <c r="A3" s="42" t="s">
        <v>5</v>
      </c>
      <c r="B3" s="42"/>
      <c r="C3" s="42"/>
      <c r="D3" s="42"/>
      <c r="E3" s="42"/>
      <c r="F3" s="42"/>
      <c r="G3" s="42"/>
    </row>
    <row r="4" spans="1:7" ht="12.75">
      <c r="A4" s="42" t="s">
        <v>10</v>
      </c>
      <c r="B4" s="42"/>
      <c r="C4" s="42"/>
      <c r="D4" s="42"/>
      <c r="E4" s="42"/>
      <c r="F4" s="42"/>
      <c r="G4" s="42"/>
    </row>
    <row r="5" ht="12.75">
      <c r="A5" s="42" t="s">
        <v>11</v>
      </c>
    </row>
    <row r="6" ht="12.75">
      <c r="A6" s="42" t="s">
        <v>12</v>
      </c>
    </row>
    <row r="7" ht="12.75">
      <c r="A7" s="42"/>
    </row>
    <row r="8" ht="12.75">
      <c r="A8" s="42"/>
    </row>
    <row r="9" spans="1:4" ht="12.75">
      <c r="A9" s="4" t="s">
        <v>6</v>
      </c>
      <c r="B9" t="s">
        <v>69</v>
      </c>
      <c r="C9" t="s">
        <v>598</v>
      </c>
      <c r="D9" t="s">
        <v>431</v>
      </c>
    </row>
    <row r="10" spans="1:6" ht="12.75">
      <c r="A10" t="s">
        <v>9</v>
      </c>
      <c r="B10">
        <v>8</v>
      </c>
      <c r="C10">
        <v>18.5</v>
      </c>
      <c r="D10">
        <v>4.1</v>
      </c>
      <c r="E10" s="3"/>
      <c r="F10" s="63"/>
    </row>
    <row r="11" spans="1:6" ht="12.75">
      <c r="A11" t="s">
        <v>8</v>
      </c>
      <c r="B11">
        <v>7</v>
      </c>
      <c r="C11">
        <v>19.9</v>
      </c>
      <c r="D11">
        <v>3</v>
      </c>
      <c r="E11" s="3"/>
      <c r="F11" s="63"/>
    </row>
    <row r="12" spans="1:6" ht="12.75">
      <c r="A12" t="s">
        <v>7</v>
      </c>
      <c r="B12">
        <v>42</v>
      </c>
      <c r="C12">
        <v>21.6</v>
      </c>
      <c r="D12">
        <v>3.3</v>
      </c>
      <c r="E12" s="3"/>
      <c r="F12" s="6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32">
      <selection activeCell="F68" sqref="F68"/>
    </sheetView>
  </sheetViews>
  <sheetFormatPr defaultColWidth="11.00390625" defaultRowHeight="12"/>
  <sheetData>
    <row r="1" ht="18.75">
      <c r="A1" s="32" t="s">
        <v>209</v>
      </c>
    </row>
    <row r="3" ht="18.75">
      <c r="A3" s="78" t="s">
        <v>177</v>
      </c>
    </row>
    <row r="4" spans="1:12" ht="12.75">
      <c r="A4" t="s">
        <v>127</v>
      </c>
      <c r="B4" t="s">
        <v>214</v>
      </c>
      <c r="C4" t="s">
        <v>167</v>
      </c>
      <c r="D4" t="s">
        <v>340</v>
      </c>
      <c r="E4" t="s">
        <v>341</v>
      </c>
      <c r="G4" t="s">
        <v>598</v>
      </c>
      <c r="H4" t="s">
        <v>170</v>
      </c>
      <c r="I4" t="s">
        <v>126</v>
      </c>
      <c r="J4" t="s">
        <v>384</v>
      </c>
      <c r="L4" s="85" t="s">
        <v>323</v>
      </c>
    </row>
    <row r="5" ht="12.75">
      <c r="C5" s="4" t="s">
        <v>168</v>
      </c>
    </row>
    <row r="6" spans="1:21" ht="12.75">
      <c r="A6" s="15" t="s">
        <v>210</v>
      </c>
      <c r="B6" s="15" t="s">
        <v>216</v>
      </c>
      <c r="C6" s="15">
        <v>0.258</v>
      </c>
      <c r="D6" s="18">
        <f>LOG10(C6)</f>
        <v>-0.5883802940367698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5" t="s">
        <v>211</v>
      </c>
      <c r="B7" s="15" t="s">
        <v>216</v>
      </c>
      <c r="C7" s="15">
        <v>0.255</v>
      </c>
      <c r="D7" s="18">
        <f>LOG10(C7)</f>
        <v>-0.5934598195660448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 t="s">
        <v>212</v>
      </c>
      <c r="B8" s="15" t="s">
        <v>216</v>
      </c>
      <c r="C8" s="15">
        <v>0.287</v>
      </c>
      <c r="D8" s="18">
        <f>LOG10(C8)</f>
        <v>-0.5421181032660077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>
      <c r="A9" s="15" t="s">
        <v>213</v>
      </c>
      <c r="B9" s="15" t="s">
        <v>216</v>
      </c>
      <c r="C9" s="15">
        <v>0.27699999999999997</v>
      </c>
      <c r="D9" s="18">
        <f>LOG10(C9)</f>
        <v>-0.5575202309355515</v>
      </c>
      <c r="E9" s="95">
        <f>STDEV(D6:D9)</f>
        <v>0.02463599461735564</v>
      </c>
      <c r="F9" s="15"/>
      <c r="G9" s="100">
        <f>AVERAGE(C6:C9)</f>
        <v>0.26925</v>
      </c>
      <c r="H9" s="101">
        <f>STDEV(C6:C9)</f>
        <v>0.01532699144211475</v>
      </c>
      <c r="I9" s="18">
        <f>EXP(SQRT(LN(POWER(H9,2)/POWER(G9,2)+1)))</f>
        <v>1.0585274296119587</v>
      </c>
      <c r="J9" s="102">
        <f>LOG10(I9)</f>
        <v>0.02470211637032775</v>
      </c>
      <c r="K9" s="15"/>
      <c r="L9" s="88">
        <f>E9/J9</f>
        <v>0.9973232353058001</v>
      </c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5"/>
      <c r="B10" s="15"/>
      <c r="C10" s="17" t="s">
        <v>169</v>
      </c>
      <c r="D10" s="15"/>
      <c r="E10" s="22"/>
      <c r="F10" s="15"/>
      <c r="G10" s="100"/>
      <c r="H10" s="15"/>
      <c r="I10" s="15"/>
      <c r="J10" s="26"/>
      <c r="K10" s="17" t="s">
        <v>169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5" t="s">
        <v>210</v>
      </c>
      <c r="B11" s="15" t="s">
        <v>216</v>
      </c>
      <c r="C11" s="15">
        <v>0.307</v>
      </c>
      <c r="D11" s="18">
        <f>LOG10(C11)</f>
        <v>-0.5128616245228136</v>
      </c>
      <c r="E11" s="22"/>
      <c r="F11" s="15"/>
      <c r="G11" s="100"/>
      <c r="H11" s="15"/>
      <c r="I11" s="15"/>
      <c r="J11" s="2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5" t="s">
        <v>211</v>
      </c>
      <c r="B12" s="15" t="s">
        <v>216</v>
      </c>
      <c r="C12" s="15">
        <v>0.326</v>
      </c>
      <c r="D12" s="18">
        <f>LOG10(C12)</f>
        <v>-0.486782399932061</v>
      </c>
      <c r="E12" s="22"/>
      <c r="F12" s="15"/>
      <c r="G12" s="100"/>
      <c r="H12" s="15"/>
      <c r="I12" s="15"/>
      <c r="J12" s="2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5" t="s">
        <v>212</v>
      </c>
      <c r="B13" s="15" t="s">
        <v>216</v>
      </c>
      <c r="C13" s="15">
        <v>0.34</v>
      </c>
      <c r="D13" s="18">
        <f>LOG10(C13)</f>
        <v>-0.46852108295774486</v>
      </c>
      <c r="E13" s="22"/>
      <c r="F13" s="15"/>
      <c r="G13" s="100"/>
      <c r="H13" s="15"/>
      <c r="I13" s="15"/>
      <c r="J13" s="2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 t="s">
        <v>213</v>
      </c>
      <c r="B14" s="15" t="s">
        <v>216</v>
      </c>
      <c r="C14" s="15">
        <v>0.344</v>
      </c>
      <c r="D14" s="18">
        <f>LOG10(C14)</f>
        <v>-0.4634415574284699</v>
      </c>
      <c r="E14" s="20">
        <f>STDEV(D11:D14)</f>
        <v>0.02234693271115823</v>
      </c>
      <c r="F14" s="15"/>
      <c r="G14" s="100">
        <f>AVERAGE(C11:C14)</f>
        <v>0.32925000000000004</v>
      </c>
      <c r="H14" s="101">
        <f>STDEV(C11:C14)</f>
        <v>0.016720745597410262</v>
      </c>
      <c r="I14" s="18">
        <f>EXP(SQRT(LN(POWER(H14,2)/POWER(G14,2)+1)))</f>
        <v>1.052061578022821</v>
      </c>
      <c r="J14" s="102">
        <f>LOG10(I14)</f>
        <v>0.02204116017214779</v>
      </c>
      <c r="K14" s="15"/>
      <c r="L14" s="88">
        <f>E14/J14</f>
        <v>1.0138727969227694</v>
      </c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/>
      <c r="B15" s="15"/>
      <c r="C15" s="17" t="s">
        <v>168</v>
      </c>
      <c r="D15" s="15"/>
      <c r="E15" s="22"/>
      <c r="F15" s="15"/>
      <c r="G15" s="15"/>
      <c r="H15" s="15"/>
      <c r="I15" s="15"/>
      <c r="J15" s="2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 t="s">
        <v>210</v>
      </c>
      <c r="B16" s="15" t="s">
        <v>215</v>
      </c>
      <c r="C16" s="15">
        <v>0.217</v>
      </c>
      <c r="D16" s="18">
        <f>LOG10(C16)</f>
        <v>-0.6635402661514704</v>
      </c>
      <c r="E16" s="22"/>
      <c r="F16" s="15"/>
      <c r="G16" s="15"/>
      <c r="H16" s="15"/>
      <c r="I16" s="15"/>
      <c r="J16" s="2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5" t="s">
        <v>211</v>
      </c>
      <c r="B17" s="15" t="s">
        <v>215</v>
      </c>
      <c r="C17" s="15">
        <v>0.23</v>
      </c>
      <c r="D17" s="18">
        <f>LOG10(C17)</f>
        <v>-0.6382721639824072</v>
      </c>
      <c r="E17" s="22"/>
      <c r="F17" s="15"/>
      <c r="G17" s="15"/>
      <c r="H17" s="15"/>
      <c r="I17" s="15"/>
      <c r="J17" s="2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 t="s">
        <v>212</v>
      </c>
      <c r="B18" s="15" t="s">
        <v>215</v>
      </c>
      <c r="C18" s="15">
        <v>0.28800000000000003</v>
      </c>
      <c r="D18" s="18">
        <f>LOG10(C18)</f>
        <v>-0.5406075122407691</v>
      </c>
      <c r="E18" s="22"/>
      <c r="F18" s="15"/>
      <c r="G18" s="15"/>
      <c r="H18" s="15"/>
      <c r="I18" s="15"/>
      <c r="J18" s="2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 t="s">
        <v>213</v>
      </c>
      <c r="B19" s="15" t="s">
        <v>215</v>
      </c>
      <c r="C19" s="15">
        <v>0.23800000000000002</v>
      </c>
      <c r="D19" s="18">
        <f>LOG10(C19)</f>
        <v>-0.6234230429434879</v>
      </c>
      <c r="E19" s="20">
        <f>STDEV(D16:D19)</f>
        <v>0.0532115458102768</v>
      </c>
      <c r="F19" s="15"/>
      <c r="G19" s="101">
        <f>AVERAGE(C16:C19)</f>
        <v>0.24325000000000002</v>
      </c>
      <c r="H19" s="101">
        <f>STDEV(C16:C19)</f>
        <v>0.031063107807601256</v>
      </c>
      <c r="I19" s="18">
        <f>EXP(SQRT(LN(POWER(H19,2)/POWER(G19,2)+1)))</f>
        <v>1.135626265835763</v>
      </c>
      <c r="J19" s="102">
        <f>LOG10(I19)</f>
        <v>0.05523542874252711</v>
      </c>
      <c r="K19" s="15"/>
      <c r="L19" s="88">
        <f>E19/J19</f>
        <v>0.9633589712558513</v>
      </c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/>
      <c r="B20" s="15"/>
      <c r="C20" s="17" t="s">
        <v>169</v>
      </c>
      <c r="D20" s="15"/>
      <c r="E20" s="22"/>
      <c r="F20" s="15"/>
      <c r="G20" s="15"/>
      <c r="H20" s="15"/>
      <c r="I20" s="15"/>
      <c r="J20" s="26"/>
      <c r="K20" s="17" t="s">
        <v>169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 t="s">
        <v>210</v>
      </c>
      <c r="B21" s="15" t="s">
        <v>215</v>
      </c>
      <c r="C21" s="15">
        <v>0.281</v>
      </c>
      <c r="D21" s="18">
        <f>LOG10(C21)</f>
        <v>-0.5512936800949201</v>
      </c>
      <c r="E21" s="22"/>
      <c r="F21" s="15"/>
      <c r="G21" s="15"/>
      <c r="H21" s="15"/>
      <c r="I21" s="15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 t="s">
        <v>211</v>
      </c>
      <c r="B22" s="15" t="s">
        <v>215</v>
      </c>
      <c r="C22" s="15">
        <v>0.298</v>
      </c>
      <c r="D22" s="18">
        <f>LOG10(C22)</f>
        <v>-0.5257837359237448</v>
      </c>
      <c r="E22" s="22"/>
      <c r="F22" s="15"/>
      <c r="G22" s="15"/>
      <c r="H22" s="15"/>
      <c r="I22" s="15"/>
      <c r="J22" s="2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 t="s">
        <v>212</v>
      </c>
      <c r="B23" s="15" t="s">
        <v>215</v>
      </c>
      <c r="C23" s="15">
        <v>0.34</v>
      </c>
      <c r="D23" s="18">
        <f>LOG10(C23)</f>
        <v>-0.46852108295774486</v>
      </c>
      <c r="E23" s="22"/>
      <c r="F23" s="15"/>
      <c r="G23" s="15"/>
      <c r="H23" s="15"/>
      <c r="I23" s="15"/>
      <c r="J23" s="2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 t="s">
        <v>213</v>
      </c>
      <c r="B24" s="15" t="s">
        <v>215</v>
      </c>
      <c r="C24" s="15">
        <v>0.307</v>
      </c>
      <c r="D24" s="18">
        <f>LOG10(C24)</f>
        <v>-0.5128616245228136</v>
      </c>
      <c r="E24" s="20">
        <f>STDEV(D21:D24)</f>
        <v>0.03463038044597111</v>
      </c>
      <c r="F24" s="15"/>
      <c r="G24" s="101">
        <f>AVERAGE(C21:C24)</f>
        <v>0.3065</v>
      </c>
      <c r="H24" s="101">
        <f>STDEV(C21:C24)</f>
        <v>0.024799193535274766</v>
      </c>
      <c r="I24" s="18">
        <f>EXP(SQRT(LN(POWER(H24,2)/POWER(G24,2)+1)))</f>
        <v>1.0841312271462424</v>
      </c>
      <c r="J24" s="102">
        <f>LOG10(I24)</f>
        <v>0.03508185395157318</v>
      </c>
      <c r="K24" s="15"/>
      <c r="L24" s="88">
        <f>E24/J24</f>
        <v>0.9871308538532405</v>
      </c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5"/>
      <c r="C25" s="17" t="s">
        <v>168</v>
      </c>
      <c r="D25" s="15"/>
      <c r="E25" s="22"/>
      <c r="F25" s="15"/>
      <c r="G25" s="15"/>
      <c r="H25" s="15"/>
      <c r="I25" s="15"/>
      <c r="J25" s="2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5" t="s">
        <v>210</v>
      </c>
      <c r="B26" s="15" t="s">
        <v>217</v>
      </c>
      <c r="C26" s="15">
        <v>0.276</v>
      </c>
      <c r="D26" s="18">
        <f>LOG10(C26)</f>
        <v>-0.5590909179347823</v>
      </c>
      <c r="E26" s="22"/>
      <c r="F26" s="15"/>
      <c r="G26" s="15"/>
      <c r="H26" s="15"/>
      <c r="I26" s="15"/>
      <c r="J26" s="2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 t="s">
        <v>211</v>
      </c>
      <c r="B27" s="15" t="s">
        <v>217</v>
      </c>
      <c r="C27" s="15">
        <v>0.28800000000000003</v>
      </c>
      <c r="D27" s="18">
        <f>LOG10(C27)</f>
        <v>-0.5406075122407691</v>
      </c>
      <c r="E27" s="22"/>
      <c r="F27" s="15"/>
      <c r="G27" s="15"/>
      <c r="H27" s="15"/>
      <c r="I27" s="15"/>
      <c r="J27" s="2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 t="s">
        <v>212</v>
      </c>
      <c r="B28" s="15" t="s">
        <v>217</v>
      </c>
      <c r="C28" s="15">
        <v>0.335</v>
      </c>
      <c r="D28" s="18">
        <f>LOG10(C28)</f>
        <v>-0.47495519296315475</v>
      </c>
      <c r="E28" s="22"/>
      <c r="F28" s="15"/>
      <c r="G28" s="15"/>
      <c r="H28" s="15"/>
      <c r="I28" s="15"/>
      <c r="J28" s="2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 t="s">
        <v>213</v>
      </c>
      <c r="B29" s="15" t="s">
        <v>217</v>
      </c>
      <c r="C29" s="15">
        <v>0.294</v>
      </c>
      <c r="D29" s="18">
        <f>LOG10(C29)</f>
        <v>-0.5316526695878427</v>
      </c>
      <c r="E29" s="20">
        <f>STDEV(D26:D29)</f>
        <v>0.036261014492123246</v>
      </c>
      <c r="F29" s="15"/>
      <c r="G29" s="101">
        <f>AVERAGE(C26:C29)</f>
        <v>0.29825</v>
      </c>
      <c r="H29" s="101">
        <f>STDEV(C26:C29)</f>
        <v>0.02561737691489876</v>
      </c>
      <c r="I29" s="18">
        <f>EXP(SQRT(LN(POWER(H29,2)/POWER(G29,2)+1)))</f>
        <v>1.0895170311870814</v>
      </c>
      <c r="J29" s="102">
        <f>LOG10(I29)</f>
        <v>0.03723402346961584</v>
      </c>
      <c r="K29" s="15"/>
      <c r="L29" s="88">
        <f>E29/J29</f>
        <v>0.9738677454966262</v>
      </c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/>
      <c r="B30" s="15"/>
      <c r="C30" s="17" t="s">
        <v>169</v>
      </c>
      <c r="D30" s="15"/>
      <c r="E30" s="22"/>
      <c r="F30" s="15"/>
      <c r="G30" s="15"/>
      <c r="H30" s="15"/>
      <c r="I30" s="15"/>
      <c r="J30" s="26"/>
      <c r="K30" s="17" t="s">
        <v>169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 t="s">
        <v>210</v>
      </c>
      <c r="B31" s="15" t="s">
        <v>217</v>
      </c>
      <c r="C31" s="15">
        <v>0.321</v>
      </c>
      <c r="D31" s="18">
        <f>LOG10(C31)</f>
        <v>-0.49349496759512784</v>
      </c>
      <c r="E31" s="22"/>
      <c r="F31" s="15"/>
      <c r="G31" s="15"/>
      <c r="H31" s="15"/>
      <c r="I31" s="15"/>
      <c r="J31" s="2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 t="s">
        <v>211</v>
      </c>
      <c r="B32" s="15" t="s">
        <v>217</v>
      </c>
      <c r="C32" s="15">
        <v>0.363</v>
      </c>
      <c r="D32" s="18">
        <f>LOG10(C32)</f>
        <v>-0.4400933749638875</v>
      </c>
      <c r="E32" s="22"/>
      <c r="F32" s="15"/>
      <c r="G32" s="15"/>
      <c r="H32" s="15"/>
      <c r="I32" s="15"/>
      <c r="J32" s="2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 t="s">
        <v>212</v>
      </c>
      <c r="B33" s="15" t="s">
        <v>217</v>
      </c>
      <c r="C33" s="15">
        <v>0.386</v>
      </c>
      <c r="D33" s="18">
        <f>LOG10(C33)</f>
        <v>-0.41341269532824504</v>
      </c>
      <c r="E33" s="22"/>
      <c r="F33" s="15"/>
      <c r="G33" s="15"/>
      <c r="H33" s="15"/>
      <c r="I33" s="15"/>
      <c r="J33" s="2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 t="s">
        <v>213</v>
      </c>
      <c r="B34" s="15" t="s">
        <v>217</v>
      </c>
      <c r="C34" s="15">
        <v>0.344</v>
      </c>
      <c r="D34" s="18">
        <f>LOG10(C34)</f>
        <v>-0.4634415574284699</v>
      </c>
      <c r="E34" s="20">
        <f>STDEV(D31:D34)</f>
        <v>0.03406854759511631</v>
      </c>
      <c r="F34" s="15"/>
      <c r="G34" s="101">
        <f>AVERAGE(C31:C34)</f>
        <v>0.3534999999999999</v>
      </c>
      <c r="H34" s="101">
        <f>STDEV(C31:C34)</f>
        <v>0.027646579052993225</v>
      </c>
      <c r="I34" s="18">
        <f>EXP(SQRT(LN(POWER(H34,2)/POWER(G34,2)+1)))</f>
        <v>1.0812188274172547</v>
      </c>
      <c r="J34" s="102">
        <f>LOG10(I34)</f>
        <v>0.033913599524127015</v>
      </c>
      <c r="K34" s="15"/>
      <c r="L34" s="88">
        <f>E34/J34</f>
        <v>1.004568906667635</v>
      </c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8.75">
      <c r="A36" s="79" t="s">
        <v>178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 t="s">
        <v>127</v>
      </c>
      <c r="B37" s="15" t="s">
        <v>214</v>
      </c>
      <c r="C37" s="15" t="s">
        <v>167</v>
      </c>
      <c r="D37" s="15" t="s">
        <v>340</v>
      </c>
      <c r="E37" s="15" t="s">
        <v>341</v>
      </c>
      <c r="F37" s="15"/>
      <c r="G37" s="15" t="s">
        <v>598</v>
      </c>
      <c r="H37" s="15" t="s">
        <v>170</v>
      </c>
      <c r="I37" s="15" t="s">
        <v>126</v>
      </c>
      <c r="J37" s="15" t="s">
        <v>384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5"/>
      <c r="C38" s="17" t="s">
        <v>168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4" ht="12.75">
      <c r="A39" t="s">
        <v>210</v>
      </c>
      <c r="B39" t="s">
        <v>216</v>
      </c>
      <c r="C39">
        <f>-LN(1-C6)</f>
        <v>0.2984060358147566</v>
      </c>
      <c r="D39" s="3">
        <f>LOG10(C39)</f>
        <v>-0.5251923967002673</v>
      </c>
    </row>
    <row r="40" spans="1:4" ht="12.75">
      <c r="A40" t="s">
        <v>211</v>
      </c>
      <c r="B40" t="s">
        <v>216</v>
      </c>
      <c r="C40">
        <f>-LN(1-C7)</f>
        <v>0.2943710606025775</v>
      </c>
      <c r="D40" s="3">
        <f>LOG10(C40)</f>
        <v>-0.531104887399675</v>
      </c>
    </row>
    <row r="41" spans="1:4" ht="12.75">
      <c r="A41" t="s">
        <v>212</v>
      </c>
      <c r="B41" t="s">
        <v>216</v>
      </c>
      <c r="C41">
        <f>-LN(1-C8)</f>
        <v>0.338273858567841</v>
      </c>
      <c r="D41" s="3">
        <f>LOG10(C41)</f>
        <v>-0.47073156271571776</v>
      </c>
    </row>
    <row r="42" spans="1:12" ht="12.75">
      <c r="A42" t="s">
        <v>213</v>
      </c>
      <c r="B42" t="s">
        <v>216</v>
      </c>
      <c r="C42">
        <f>-LN(1-C9)</f>
        <v>0.3243460568233722</v>
      </c>
      <c r="D42" s="3">
        <f>LOG10(C42)</f>
        <v>-0.48899137755573785</v>
      </c>
      <c r="E42" s="94">
        <f>STDEV(D39:D42)</f>
        <v>0.02895882228041932</v>
      </c>
      <c r="G42" s="5">
        <f>AVERAGE(C39:C42)</f>
        <v>0.31384925295213684</v>
      </c>
      <c r="H42" s="5">
        <f>STDEV(C39:C42)</f>
        <v>0.021012989504530972</v>
      </c>
      <c r="I42" s="3">
        <f>EXP(SQRT(LN(POWER(H42,2)/POWER(G42,2)+1)))</f>
        <v>1.069164649775216</v>
      </c>
      <c r="J42" s="7">
        <f>LOG10(I42)</f>
        <v>0.029044591067144267</v>
      </c>
      <c r="L42" s="86">
        <f>E42/J42</f>
        <v>0.9970469962366945</v>
      </c>
    </row>
    <row r="43" spans="3:10" ht="12.75">
      <c r="C43" s="4" t="s">
        <v>169</v>
      </c>
      <c r="E43" s="94"/>
      <c r="J43" s="8"/>
    </row>
    <row r="44" spans="1:10" ht="12.75">
      <c r="A44" t="s">
        <v>210</v>
      </c>
      <c r="B44" t="s">
        <v>216</v>
      </c>
      <c r="C44">
        <f>-LN(1-C11)</f>
        <v>0.36672527979223374</v>
      </c>
      <c r="D44" s="3">
        <f>LOG10(C44)</f>
        <v>-0.435659151408762</v>
      </c>
      <c r="E44" s="94"/>
      <c r="J44" s="8"/>
    </row>
    <row r="45" spans="1:10" ht="12.75">
      <c r="A45" t="s">
        <v>211</v>
      </c>
      <c r="B45" t="s">
        <v>216</v>
      </c>
      <c r="C45">
        <f>-LN(1-C12)</f>
        <v>0.39452516806983007</v>
      </c>
      <c r="D45" s="3">
        <f>LOG10(C45)</f>
        <v>-0.4039252864844768</v>
      </c>
      <c r="E45" s="94"/>
      <c r="J45" s="8"/>
    </row>
    <row r="46" spans="1:10" ht="12.75">
      <c r="A46" t="s">
        <v>212</v>
      </c>
      <c r="B46" t="s">
        <v>216</v>
      </c>
      <c r="C46">
        <f>-LN(1-C13)</f>
        <v>0.4155154439616659</v>
      </c>
      <c r="D46" s="3">
        <f>LOG10(C46)</f>
        <v>-0.38141282963515083</v>
      </c>
      <c r="E46" s="94"/>
      <c r="J46" s="8"/>
    </row>
    <row r="47" spans="1:12" ht="12.75">
      <c r="A47" t="s">
        <v>213</v>
      </c>
      <c r="B47" t="s">
        <v>216</v>
      </c>
      <c r="C47">
        <f>-LN(1-C14)</f>
        <v>0.42159449003804794</v>
      </c>
      <c r="D47" s="3">
        <f>LOG10(C47)</f>
        <v>-0.3751050737008901</v>
      </c>
      <c r="E47" s="189">
        <f>STDEV(D44:D47)</f>
        <v>0.027376542725571093</v>
      </c>
      <c r="G47" s="5">
        <f>AVERAGE(C44:C47)</f>
        <v>0.39959009546544444</v>
      </c>
      <c r="H47" s="5">
        <f>STDEV(C44:C47)</f>
        <v>0.02478951192197855</v>
      </c>
      <c r="I47" s="3">
        <f>EXP(SQRT(LN(POWER(H47,2)/POWER(G47,2)+1)))</f>
        <v>1.0639387118801271</v>
      </c>
      <c r="J47" s="7">
        <f>LOG10(I47)</f>
        <v>0.02691661117435811</v>
      </c>
      <c r="L47" s="86">
        <f>E47/J47</f>
        <v>1.0170872755204463</v>
      </c>
    </row>
    <row r="48" spans="3:10" ht="12.75">
      <c r="C48" s="4" t="s">
        <v>168</v>
      </c>
      <c r="E48" s="94"/>
      <c r="J48" s="8"/>
    </row>
    <row r="49" spans="1:10" ht="12.75">
      <c r="A49" t="s">
        <v>210</v>
      </c>
      <c r="B49" t="s">
        <v>215</v>
      </c>
      <c r="C49">
        <f>-LN(1-C16)</f>
        <v>0.24462258299133394</v>
      </c>
      <c r="D49" s="3">
        <f>LOG10(C49)</f>
        <v>-0.6115034523864192</v>
      </c>
      <c r="E49" s="94"/>
      <c r="J49" s="8"/>
    </row>
    <row r="50" spans="1:10" ht="12.75">
      <c r="A50" t="s">
        <v>211</v>
      </c>
      <c r="B50" t="s">
        <v>215</v>
      </c>
      <c r="C50">
        <f>-LN(1-C17)</f>
        <v>0.2613647641344075</v>
      </c>
      <c r="D50" s="3">
        <f>LOG10(C50)</f>
        <v>-0.5827529621780622</v>
      </c>
      <c r="E50" s="94"/>
      <c r="J50" s="8"/>
    </row>
    <row r="51" spans="1:10" ht="12.75">
      <c r="A51" t="s">
        <v>212</v>
      </c>
      <c r="B51" t="s">
        <v>215</v>
      </c>
      <c r="C51">
        <f>-LN(1-C18)</f>
        <v>0.3396773675701613</v>
      </c>
      <c r="D51" s="3">
        <f>LOG10(C51)</f>
        <v>-0.46893338885807784</v>
      </c>
      <c r="E51" s="94"/>
      <c r="J51" s="8"/>
    </row>
    <row r="52" spans="1:12" ht="12.75">
      <c r="A52" t="s">
        <v>213</v>
      </c>
      <c r="B52" t="s">
        <v>215</v>
      </c>
      <c r="C52">
        <f>-LN(1-C19)</f>
        <v>0.2718087232954908</v>
      </c>
      <c r="D52" s="3">
        <f>LOG10(C52)</f>
        <v>-0.565736609346342</v>
      </c>
      <c r="E52" s="94">
        <f>STDEV(D49:D52)</f>
        <v>0.0618214719002006</v>
      </c>
      <c r="G52" s="5">
        <f>AVERAGE(C49:C52)</f>
        <v>0.2793683594978484</v>
      </c>
      <c r="H52" s="5">
        <f>STDEV(C49:C52)</f>
        <v>0.04173616731017794</v>
      </c>
      <c r="I52" s="3">
        <f>EXP(SQRT(LN(POWER(H52,2)/POWER(G52,2)+1)))</f>
        <v>1.160175288824482</v>
      </c>
      <c r="J52" s="7">
        <f>LOG10(I52)</f>
        <v>0.0645236109665546</v>
      </c>
      <c r="L52" s="86">
        <f>E52/J52</f>
        <v>0.9581217010970661</v>
      </c>
    </row>
    <row r="53" spans="3:10" ht="12.75">
      <c r="C53" s="4" t="s">
        <v>169</v>
      </c>
      <c r="E53" s="94"/>
      <c r="J53" s="8"/>
    </row>
    <row r="54" spans="1:10" ht="12.75">
      <c r="A54" t="s">
        <v>210</v>
      </c>
      <c r="B54" t="s">
        <v>215</v>
      </c>
      <c r="C54">
        <f>-LN(1-C21)</f>
        <v>0.3298939212610904</v>
      </c>
      <c r="D54" s="3">
        <f>LOG10(C54)</f>
        <v>-0.4816256868404931</v>
      </c>
      <c r="E54" s="94"/>
      <c r="J54" s="8"/>
    </row>
    <row r="55" spans="1:10" ht="12.75">
      <c r="A55" t="s">
        <v>211</v>
      </c>
      <c r="B55" t="s">
        <v>215</v>
      </c>
      <c r="C55">
        <f>-LN(1-C22)</f>
        <v>0.35382187495632594</v>
      </c>
      <c r="D55" s="3">
        <f>LOG10(C55)</f>
        <v>-0.45121532043945234</v>
      </c>
      <c r="E55" s="94"/>
      <c r="J55" s="8"/>
    </row>
    <row r="56" spans="1:10" ht="12.75">
      <c r="A56" t="s">
        <v>212</v>
      </c>
      <c r="B56" t="s">
        <v>215</v>
      </c>
      <c r="C56">
        <f>-LN(1-C23)</f>
        <v>0.4155154439616659</v>
      </c>
      <c r="D56" s="3">
        <f>LOG10(C56)</f>
        <v>-0.38141282963515083</v>
      </c>
      <c r="E56" s="94"/>
      <c r="J56" s="8"/>
    </row>
    <row r="57" spans="1:12" ht="12.75">
      <c r="A57" t="s">
        <v>213</v>
      </c>
      <c r="B57" t="s">
        <v>215</v>
      </c>
      <c r="C57">
        <f>-LN(1-C24)</f>
        <v>0.36672527979223374</v>
      </c>
      <c r="D57" s="3">
        <f>LOG10(C57)</f>
        <v>-0.435659151408762</v>
      </c>
      <c r="E57" s="189">
        <f>STDEV(D54:D57)</f>
        <v>0.04196960711521182</v>
      </c>
      <c r="G57" s="5">
        <f>AVERAGE(C54:C57)</f>
        <v>0.366489129992829</v>
      </c>
      <c r="H57" s="5">
        <f>STDEV(C54:C57)</f>
        <v>0.036070781714003936</v>
      </c>
      <c r="I57" s="3">
        <f>EXP(SQRT(LN(POWER(H57,2)/POWER(G57,2)+1)))</f>
        <v>1.103167296207459</v>
      </c>
      <c r="J57" s="7">
        <f>LOG10(I57)</f>
        <v>0.04264137854201067</v>
      </c>
      <c r="L57" s="86">
        <f>E57/J57</f>
        <v>0.9842460199513245</v>
      </c>
    </row>
    <row r="58" spans="3:10" ht="12.75">
      <c r="C58" s="4" t="s">
        <v>168</v>
      </c>
      <c r="E58" s="94"/>
      <c r="J58" s="8"/>
    </row>
    <row r="59" spans="1:10" ht="12.75">
      <c r="A59" t="s">
        <v>210</v>
      </c>
      <c r="B59" t="s">
        <v>217</v>
      </c>
      <c r="C59">
        <f>-LN(1-C26)</f>
        <v>0.32296388659642067</v>
      </c>
      <c r="D59" s="3">
        <f>LOG10(C59)</f>
        <v>-0.49084603720059544</v>
      </c>
      <c r="E59" s="94"/>
      <c r="J59" s="8"/>
    </row>
    <row r="60" spans="1:10" ht="12.75">
      <c r="A60" t="s">
        <v>211</v>
      </c>
      <c r="B60" t="s">
        <v>217</v>
      </c>
      <c r="C60">
        <f>-LN(1-C27)</f>
        <v>0.3396773675701613</v>
      </c>
      <c r="D60" s="3">
        <f>LOG10(C60)</f>
        <v>-0.46893338885807784</v>
      </c>
      <c r="E60" s="94"/>
      <c r="J60" s="8"/>
    </row>
    <row r="61" spans="1:10" ht="12.75">
      <c r="A61" t="s">
        <v>212</v>
      </c>
      <c r="B61" t="s">
        <v>217</v>
      </c>
      <c r="C61">
        <f>-LN(1-C28)</f>
        <v>0.4079682383262828</v>
      </c>
      <c r="D61" s="3">
        <f>LOG10(C61)</f>
        <v>-0.38937364685268994</v>
      </c>
      <c r="E61" s="94"/>
      <c r="J61" s="8"/>
    </row>
    <row r="62" spans="1:12" ht="12.75">
      <c r="A62" t="s">
        <v>213</v>
      </c>
      <c r="B62" t="s">
        <v>217</v>
      </c>
      <c r="C62">
        <f>-LN(1-C29)</f>
        <v>0.348140041488895</v>
      </c>
      <c r="D62" s="3">
        <f>LOG10(C62)</f>
        <v>-0.4582460232609914</v>
      </c>
      <c r="E62" s="94">
        <f>STDEV(D59:D62)</f>
        <v>0.04380539125178047</v>
      </c>
      <c r="G62" s="5">
        <f>AVERAGE(C59:C62)</f>
        <v>0.35468738349543993</v>
      </c>
      <c r="H62" s="5">
        <f>STDEV(C59:C62)</f>
        <v>0.037028808660443766</v>
      </c>
      <c r="I62" s="3">
        <f>EXP(SQRT(LN(POWER(H62,2)/POWER(G62,2)+1)))</f>
        <v>1.1097287811623533</v>
      </c>
      <c r="J62" s="7">
        <f>LOG10(I62)</f>
        <v>0.04521684974407894</v>
      </c>
      <c r="L62" s="86">
        <f>E62/J62</f>
        <v>0.9687846787140827</v>
      </c>
    </row>
    <row r="63" spans="3:10" ht="12.75">
      <c r="C63" s="4" t="s">
        <v>169</v>
      </c>
      <c r="E63" s="94"/>
      <c r="J63" s="8"/>
    </row>
    <row r="64" spans="1:10" ht="12.75">
      <c r="A64" t="s">
        <v>210</v>
      </c>
      <c r="B64" t="s">
        <v>217</v>
      </c>
      <c r="C64">
        <f>-LN(1-C31)</f>
        <v>0.3871341514234408</v>
      </c>
      <c r="D64" s="3">
        <f>LOG10(C64)</f>
        <v>-0.4121385152722865</v>
      </c>
      <c r="E64" s="94"/>
      <c r="J64" s="8"/>
    </row>
    <row r="65" spans="1:10" ht="12.75">
      <c r="A65" t="s">
        <v>211</v>
      </c>
      <c r="B65" t="s">
        <v>217</v>
      </c>
      <c r="C65">
        <f>-LN(1-C32)</f>
        <v>0.4509856234099737</v>
      </c>
      <c r="D65" s="3">
        <f>LOG10(C65)</f>
        <v>-0.3458373024085901</v>
      </c>
      <c r="E65" s="94"/>
      <c r="J65" s="8"/>
    </row>
    <row r="66" spans="1:10" ht="12.75">
      <c r="A66" t="s">
        <v>212</v>
      </c>
      <c r="B66" t="s">
        <v>217</v>
      </c>
      <c r="C66">
        <f>-LN(1-C33)</f>
        <v>0.4877603508349946</v>
      </c>
      <c r="D66" s="3">
        <f>LOG10(C66)</f>
        <v>-0.3117935056078204</v>
      </c>
      <c r="E66" s="94"/>
      <c r="J66" s="8"/>
    </row>
    <row r="67" spans="1:12" ht="12.75">
      <c r="A67" t="s">
        <v>213</v>
      </c>
      <c r="B67" t="s">
        <v>217</v>
      </c>
      <c r="C67">
        <f>-LN(1-C34)</f>
        <v>0.42159449003804794</v>
      </c>
      <c r="D67" s="3">
        <f>LOG10(C67)</f>
        <v>-0.3751050737008901</v>
      </c>
      <c r="E67" s="189">
        <f>STDEV(D64:D67)</f>
        <v>0.04268136281194123</v>
      </c>
      <c r="G67" s="5">
        <f>AVERAGE(C64:C67)</f>
        <v>0.4368686539266143</v>
      </c>
      <c r="H67" s="5">
        <f>STDEV(C64:C67)</f>
        <v>0.04280215907070359</v>
      </c>
      <c r="I67" s="3">
        <f>EXP(SQRT(LN(POWER(H67,2)/POWER(G67,2)+1)))</f>
        <v>1.1026771428212794</v>
      </c>
      <c r="J67" s="7">
        <f>LOG10(I67)</f>
        <v>0.04244837226229197</v>
      </c>
      <c r="L67" s="86">
        <f>E67/J67</f>
        <v>1.0054887982090241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32" sqref="E32"/>
    </sheetView>
  </sheetViews>
  <sheetFormatPr defaultColWidth="11.00390625" defaultRowHeight="12"/>
  <sheetData>
    <row r="1" ht="18.75">
      <c r="A1" s="53" t="s">
        <v>301</v>
      </c>
    </row>
    <row r="2" ht="12.75">
      <c r="A2" s="54" t="s">
        <v>302</v>
      </c>
    </row>
    <row r="3" spans="1:14" ht="18.75">
      <c r="A3" s="51" t="s">
        <v>305</v>
      </c>
      <c r="K3" t="s">
        <v>384</v>
      </c>
      <c r="L3" t="s">
        <v>158</v>
      </c>
      <c r="N3" s="176" t="s">
        <v>159</v>
      </c>
    </row>
    <row r="4" spans="1:14" ht="18.75">
      <c r="A4" t="s">
        <v>222</v>
      </c>
      <c r="B4" t="s">
        <v>303</v>
      </c>
      <c r="C4" t="s">
        <v>304</v>
      </c>
      <c r="D4" t="s">
        <v>366</v>
      </c>
      <c r="E4" t="s">
        <v>564</v>
      </c>
      <c r="F4" t="s">
        <v>126</v>
      </c>
      <c r="G4" t="s">
        <v>384</v>
      </c>
      <c r="H4" t="s">
        <v>160</v>
      </c>
      <c r="I4" t="s">
        <v>247</v>
      </c>
      <c r="K4" s="55">
        <v>0.06352552176992443</v>
      </c>
      <c r="L4">
        <v>-0.5189246052829224</v>
      </c>
      <c r="N4" s="177">
        <f>STDEV(P6:P25)</f>
        <v>0.07289436996158268</v>
      </c>
    </row>
    <row r="5" spans="1:9" ht="12.75">
      <c r="A5">
        <v>2.5</v>
      </c>
      <c r="B5">
        <v>13</v>
      </c>
      <c r="C5" s="3">
        <v>0.723</v>
      </c>
      <c r="D5" s="3">
        <v>0.033</v>
      </c>
      <c r="E5" s="3">
        <f>D5/C5</f>
        <v>0.04564315352697096</v>
      </c>
      <c r="F5" s="3">
        <f>EXP(SQRT(LN(POWER(D5,2)/POWER(C5,2)+1)))</f>
        <v>1.0466759788977833</v>
      </c>
      <c r="G5" s="55">
        <f>LOG10(F5)</f>
        <v>0.019812257270046773</v>
      </c>
      <c r="H5">
        <f>LOG(C5/SQRT(POWER(D5,2)/POWER(C5,2)+1))</f>
        <v>-0.1413136144318333</v>
      </c>
      <c r="I5">
        <v>0.0385</v>
      </c>
    </row>
    <row r="6" spans="1:16" ht="12.75">
      <c r="A6">
        <v>3.5</v>
      </c>
      <c r="B6">
        <v>19</v>
      </c>
      <c r="C6" s="3">
        <v>0.7559999999999999</v>
      </c>
      <c r="D6" s="3">
        <v>0.031</v>
      </c>
      <c r="E6" s="3">
        <f>D6/C6</f>
        <v>0.04100529100529101</v>
      </c>
      <c r="F6" s="3">
        <f>EXP(SQRT(LN(POWER(D6,2)/POWER(C6,2)+1)))</f>
        <v>1.0418396760792057</v>
      </c>
      <c r="G6" s="55">
        <f>LOG10(F6)</f>
        <v>0.01780089252282051</v>
      </c>
      <c r="H6">
        <f>LOG(C6/SQRT(POWER(D6,2)/POWER(C6,2)+1))</f>
        <v>-0.12184301661109623</v>
      </c>
      <c r="I6">
        <v>0.0374</v>
      </c>
      <c r="J6">
        <v>1</v>
      </c>
      <c r="K6">
        <f>(J6-(3/8))/13.25</f>
        <v>0.04716981132075472</v>
      </c>
      <c r="L6">
        <f>NORMSINV(K6)</f>
        <v>-1.6729381968616508</v>
      </c>
      <c r="M6" s="174">
        <f aca="true" t="shared" si="0" ref="M6:M18">$L$4+($K$4*L6)</f>
        <v>-0.6251988771273953</v>
      </c>
      <c r="N6" s="175">
        <f>POWER(10,M6)</f>
        <v>0.2370288027524594</v>
      </c>
      <c r="O6" s="38">
        <f aca="true" t="shared" si="1" ref="O6:O18">-LN(1-N6)</f>
        <v>0.27053499775811995</v>
      </c>
      <c r="P6">
        <f aca="true" t="shared" si="2" ref="P6:P18">LOG(O6)</f>
        <v>-0.5677765444204163</v>
      </c>
    </row>
    <row r="7" spans="1:16" ht="12.75">
      <c r="A7">
        <v>5</v>
      </c>
      <c r="B7">
        <v>23</v>
      </c>
      <c r="C7" s="3">
        <v>0.8220000000000001</v>
      </c>
      <c r="D7" s="3">
        <v>0.018000000000000002</v>
      </c>
      <c r="E7" s="3">
        <f>D7/C7</f>
        <v>0.021897810218978103</v>
      </c>
      <c r="F7" s="3">
        <f>EXP(SQRT(LN(POWER(D7,2)/POWER(C7,2)+1)))</f>
        <v>1.0221366444449183</v>
      </c>
      <c r="G7" s="55">
        <f>LOG10(F7)</f>
        <v>0.009508958383365448</v>
      </c>
      <c r="H7">
        <f>LOG(C7/SQRT(POWER(D7,2)/POWER(C7,2)+1))</f>
        <v>-0.0852322826653451</v>
      </c>
      <c r="I7">
        <v>0.0243</v>
      </c>
      <c r="J7">
        <v>2</v>
      </c>
      <c r="K7">
        <f aca="true" t="shared" si="3" ref="K7:K18">(J7-(3/8))/13.25</f>
        <v>0.12264150943396226</v>
      </c>
      <c r="L7">
        <f aca="true" t="shared" si="4" ref="L7:L18">NORMSINV(K7)</f>
        <v>-1.1618840289884247</v>
      </c>
      <c r="M7" s="174">
        <f t="shared" si="0"/>
        <v>-0.592733894460554</v>
      </c>
      <c r="N7" s="175">
        <f aca="true" t="shared" si="5" ref="N7:N18">POWER(10,M7)</f>
        <v>0.25542659002748247</v>
      </c>
      <c r="O7" s="38">
        <f t="shared" si="1"/>
        <v>0.2949438286666271</v>
      </c>
      <c r="P7">
        <f t="shared" si="2"/>
        <v>-0.5302606864725223</v>
      </c>
    </row>
    <row r="8" spans="3:16" ht="12.75">
      <c r="C8" s="3"/>
      <c r="D8" s="3"/>
      <c r="E8" s="3"/>
      <c r="F8" s="3"/>
      <c r="G8" s="56"/>
      <c r="J8">
        <v>3</v>
      </c>
      <c r="K8">
        <f t="shared" si="3"/>
        <v>0.19811320754716982</v>
      </c>
      <c r="L8">
        <f t="shared" si="4"/>
        <v>-0.8483789315505419</v>
      </c>
      <c r="M8" s="174">
        <f t="shared" si="0"/>
        <v>-0.5728183195682816</v>
      </c>
      <c r="N8" s="175">
        <f t="shared" si="5"/>
        <v>0.26741248537996554</v>
      </c>
      <c r="O8" s="38">
        <f t="shared" si="1"/>
        <v>0.3111724713433447</v>
      </c>
      <c r="P8">
        <f t="shared" si="2"/>
        <v>-0.5069988309384627</v>
      </c>
    </row>
    <row r="9" spans="1:16" ht="12.75">
      <c r="A9" s="51" t="s">
        <v>306</v>
      </c>
      <c r="C9" s="3"/>
      <c r="D9" s="3"/>
      <c r="E9" s="3"/>
      <c r="F9" s="3"/>
      <c r="G9" s="56"/>
      <c r="J9">
        <v>4</v>
      </c>
      <c r="K9">
        <f t="shared" si="3"/>
        <v>0.27358490566037735</v>
      </c>
      <c r="L9">
        <f t="shared" si="4"/>
        <v>-0.6020059117872734</v>
      </c>
      <c r="M9" s="174">
        <f t="shared" si="0"/>
        <v>-0.5571673449377881</v>
      </c>
      <c r="N9" s="175">
        <f t="shared" si="5"/>
        <v>0.27722516782819434</v>
      </c>
      <c r="O9" s="38">
        <f t="shared" si="1"/>
        <v>0.3246575407764808</v>
      </c>
      <c r="P9">
        <f t="shared" si="2"/>
        <v>-0.4885745053752956</v>
      </c>
    </row>
    <row r="10" spans="1:16" ht="12.75">
      <c r="A10" t="s">
        <v>222</v>
      </c>
      <c r="B10" t="s">
        <v>303</v>
      </c>
      <c r="C10" s="3"/>
      <c r="D10" s="3"/>
      <c r="E10" s="3"/>
      <c r="F10" s="3"/>
      <c r="G10" s="56"/>
      <c r="J10">
        <v>5</v>
      </c>
      <c r="K10">
        <f t="shared" si="3"/>
        <v>0.3490566037735849</v>
      </c>
      <c r="L10">
        <f t="shared" si="4"/>
        <v>-0.38786879485996906</v>
      </c>
      <c r="M10" s="174">
        <f t="shared" si="0"/>
        <v>-0.5435641728546737</v>
      </c>
      <c r="N10" s="175">
        <f t="shared" si="5"/>
        <v>0.28604596579858765</v>
      </c>
      <c r="O10" s="38">
        <f t="shared" si="1"/>
        <v>0.33693669658406705</v>
      </c>
      <c r="P10">
        <f t="shared" si="2"/>
        <v>-0.47245168638884627</v>
      </c>
    </row>
    <row r="11" spans="1:16" ht="12.75">
      <c r="A11">
        <v>2.5</v>
      </c>
      <c r="B11">
        <v>13</v>
      </c>
      <c r="C11" s="3">
        <v>0.08</v>
      </c>
      <c r="D11" s="3">
        <v>0.031</v>
      </c>
      <c r="E11" s="3">
        <f>D11/C11</f>
        <v>0.3875</v>
      </c>
      <c r="F11" s="3">
        <f>EXP(SQRT(LN(POWER(D11,2)/POWER(C11,2)+1)))</f>
        <v>1.4535795171377772</v>
      </c>
      <c r="G11" s="55">
        <f>LOG10(F11)</f>
        <v>0.16243879455815619</v>
      </c>
      <c r="H11">
        <f>LOG(C11/SQRT(POWER(D11,2)/POWER(C11,2)+1))</f>
        <v>-1.1272884348819325</v>
      </c>
      <c r="I11">
        <v>0.1608</v>
      </c>
      <c r="J11">
        <v>6</v>
      </c>
      <c r="K11">
        <f t="shared" si="3"/>
        <v>0.42452830188679247</v>
      </c>
      <c r="L11">
        <f t="shared" si="4"/>
        <v>-0.19032199816138018</v>
      </c>
      <c r="M11" s="174">
        <f t="shared" si="0"/>
        <v>-0.5310149095204186</v>
      </c>
      <c r="N11" s="175">
        <f t="shared" si="5"/>
        <v>0.29443205522452154</v>
      </c>
      <c r="O11" s="38">
        <f t="shared" si="1"/>
        <v>0.3487522050614856</v>
      </c>
      <c r="P11">
        <f t="shared" si="2"/>
        <v>-0.4574830377885741</v>
      </c>
    </row>
    <row r="12" spans="1:16" ht="12.75">
      <c r="A12">
        <v>3.5</v>
      </c>
      <c r="B12">
        <v>19</v>
      </c>
      <c r="C12" s="3">
        <v>0.192</v>
      </c>
      <c r="D12" s="3">
        <v>0.034</v>
      </c>
      <c r="E12" s="3">
        <f>D12/C12</f>
        <v>0.17708333333333334</v>
      </c>
      <c r="F12" s="3">
        <f>EXP(SQRT(LN(POWER(D12,2)/POWER(C12,2)+1)))</f>
        <v>1.1921020300543033</v>
      </c>
      <c r="G12" s="55">
        <f>LOG10(F12)</f>
        <v>0.07631342754621544</v>
      </c>
      <c r="H12">
        <f>LOG(C12/SQRT(POWER(D12,2)/POWER(C12,2)+1))</f>
        <v>-0.7234035988576131</v>
      </c>
      <c r="I12">
        <v>0.0808</v>
      </c>
      <c r="J12">
        <v>7</v>
      </c>
      <c r="K12">
        <f t="shared" si="3"/>
        <v>0.5</v>
      </c>
      <c r="L12">
        <f t="shared" si="4"/>
        <v>0</v>
      </c>
      <c r="M12" s="174">
        <f t="shared" si="0"/>
        <v>-0.5189246052829224</v>
      </c>
      <c r="N12" s="175">
        <f t="shared" si="5"/>
        <v>0.302743895421645</v>
      </c>
      <c r="O12" s="38">
        <f t="shared" si="1"/>
        <v>0.3606024972911301</v>
      </c>
      <c r="P12">
        <f t="shared" si="2"/>
        <v>-0.44297126997079367</v>
      </c>
    </row>
    <row r="13" spans="1:16" ht="12.75">
      <c r="A13">
        <v>5</v>
      </c>
      <c r="B13">
        <v>23</v>
      </c>
      <c r="C13" s="3">
        <v>0.27699999999999997</v>
      </c>
      <c r="D13" s="3">
        <v>0.046</v>
      </c>
      <c r="E13" s="3">
        <f>D13/C13</f>
        <v>0.1660649819494585</v>
      </c>
      <c r="F13" s="3">
        <f>EXP(SQRT(LN(POWER(D13,2)/POWER(C13,2)+1)))</f>
        <v>1.179318649455768</v>
      </c>
      <c r="G13" s="55">
        <f>LOG10(F13)</f>
        <v>0.07163116642043471</v>
      </c>
      <c r="H13">
        <f>LOG(C13/SQRT(POWER(D13,2)/POWER(C13,2)+1))</f>
        <v>-0.5634275406258171</v>
      </c>
      <c r="I13">
        <v>0.0804</v>
      </c>
      <c r="J13">
        <v>8</v>
      </c>
      <c r="K13">
        <f t="shared" si="3"/>
        <v>0.5754716981132075</v>
      </c>
      <c r="L13">
        <f t="shared" si="4"/>
        <v>0.19032199816138018</v>
      </c>
      <c r="M13" s="174">
        <f t="shared" si="0"/>
        <v>-0.5068343010454261</v>
      </c>
      <c r="N13" s="175">
        <f t="shared" si="5"/>
        <v>0.31129037952467675</v>
      </c>
      <c r="O13" s="38">
        <f t="shared" si="1"/>
        <v>0.3729355474927165</v>
      </c>
      <c r="P13">
        <f t="shared" si="2"/>
        <v>-0.42836621855838974</v>
      </c>
    </row>
    <row r="14" spans="3:16" ht="12.75">
      <c r="C14" s="3"/>
      <c r="D14" s="3"/>
      <c r="E14" s="3"/>
      <c r="F14" s="3"/>
      <c r="G14" s="56"/>
      <c r="J14">
        <v>9</v>
      </c>
      <c r="K14">
        <f t="shared" si="3"/>
        <v>0.6509433962264151</v>
      </c>
      <c r="L14">
        <f t="shared" si="4"/>
        <v>0.38786879485996906</v>
      </c>
      <c r="M14" s="174">
        <f t="shared" si="0"/>
        <v>-0.49428503771117105</v>
      </c>
      <c r="N14" s="175">
        <f t="shared" si="5"/>
        <v>0.32041656647452177</v>
      </c>
      <c r="O14" s="38">
        <f t="shared" si="1"/>
        <v>0.38627526628330633</v>
      </c>
      <c r="P14">
        <f t="shared" si="2"/>
        <v>-0.41310309941555456</v>
      </c>
    </row>
    <row r="15" spans="1:16" ht="12.75">
      <c r="A15" s="51" t="s">
        <v>307</v>
      </c>
      <c r="C15" s="3"/>
      <c r="D15" s="3"/>
      <c r="E15" s="3"/>
      <c r="F15" s="3"/>
      <c r="G15" s="56"/>
      <c r="J15">
        <f>J14+1</f>
        <v>10</v>
      </c>
      <c r="K15">
        <f t="shared" si="3"/>
        <v>0.7264150943396226</v>
      </c>
      <c r="L15">
        <f t="shared" si="4"/>
        <v>0.6020059117872734</v>
      </c>
      <c r="M15" s="174">
        <f t="shared" si="0"/>
        <v>-0.48068186562805676</v>
      </c>
      <c r="N15" s="175">
        <f t="shared" si="5"/>
        <v>0.3306116357800271</v>
      </c>
      <c r="O15" s="38">
        <f t="shared" si="1"/>
        <v>0.4013908727581781</v>
      </c>
      <c r="P15">
        <f t="shared" si="2"/>
        <v>-0.39643250717445666</v>
      </c>
    </row>
    <row r="16" spans="1:16" ht="12.75">
      <c r="A16" t="s">
        <v>222</v>
      </c>
      <c r="B16" t="s">
        <v>303</v>
      </c>
      <c r="C16" s="3"/>
      <c r="D16" s="3"/>
      <c r="E16" s="3"/>
      <c r="F16" s="3"/>
      <c r="G16" s="56"/>
      <c r="J16">
        <f>J15+1</f>
        <v>11</v>
      </c>
      <c r="K16">
        <f t="shared" si="3"/>
        <v>0.8018867924528302</v>
      </c>
      <c r="L16">
        <f t="shared" si="4"/>
        <v>0.8483789315505419</v>
      </c>
      <c r="M16" s="174">
        <f t="shared" si="0"/>
        <v>-0.46503089099756323</v>
      </c>
      <c r="N16" s="175">
        <f t="shared" si="5"/>
        <v>0.3427434066320472</v>
      </c>
      <c r="O16" s="38">
        <f t="shared" si="1"/>
        <v>0.41968078367206035</v>
      </c>
      <c r="P16">
        <f t="shared" si="2"/>
        <v>-0.37708091579267117</v>
      </c>
    </row>
    <row r="17" spans="1:16" ht="12.75">
      <c r="A17">
        <v>2.5</v>
      </c>
      <c r="B17">
        <v>13</v>
      </c>
      <c r="C17" s="3">
        <v>0.107</v>
      </c>
      <c r="D17" s="3">
        <v>0.034</v>
      </c>
      <c r="E17" s="3">
        <f>D17/C17</f>
        <v>0.31775700934579443</v>
      </c>
      <c r="F17" s="3">
        <f>EXP(SQRT(LN(POWER(D17,2)/POWER(C17,2)+1)))</f>
        <v>1.3636255723370965</v>
      </c>
      <c r="G17" s="55">
        <f>LOG10(F17)</f>
        <v>0.1346951370425927</v>
      </c>
      <c r="H17">
        <f>LOG(C17/SQRT(POWER(D17,2)/POWER(C17,2)+1))</f>
        <v>-0.991503869635813</v>
      </c>
      <c r="I17">
        <v>0.1354</v>
      </c>
      <c r="J17">
        <f>J16+1</f>
        <v>12</v>
      </c>
      <c r="K17">
        <f t="shared" si="3"/>
        <v>0.8773584905660378</v>
      </c>
      <c r="L17">
        <f t="shared" si="4"/>
        <v>1.1618840289884247</v>
      </c>
      <c r="M17" s="174">
        <f t="shared" si="0"/>
        <v>-0.4451153161052907</v>
      </c>
      <c r="N17" s="175">
        <f t="shared" si="5"/>
        <v>0.35882664449778107</v>
      </c>
      <c r="O17" s="38">
        <f t="shared" si="1"/>
        <v>0.44445541322395465</v>
      </c>
      <c r="P17">
        <f t="shared" si="2"/>
        <v>-0.35217179996268994</v>
      </c>
    </row>
    <row r="18" spans="1:16" ht="12.75">
      <c r="A18">
        <v>3.5</v>
      </c>
      <c r="B18">
        <v>19</v>
      </c>
      <c r="C18" s="3">
        <v>0.13699999999999998</v>
      </c>
      <c r="D18" s="3">
        <v>0.038</v>
      </c>
      <c r="E18" s="3">
        <f>D18/C18</f>
        <v>0.2773722627737227</v>
      </c>
      <c r="F18" s="3">
        <f>EXP(SQRT(LN(POWER(D18,2)/POWER(C18,2)+1)))</f>
        <v>1.3129135653353625</v>
      </c>
      <c r="G18" s="55">
        <f>LOG10(F18)</f>
        <v>0.11823613558413573</v>
      </c>
      <c r="H18">
        <f>LOG(C18/SQRT(POWER(D18,2)/POWER(C18,2)+1))</f>
        <v>-0.8793742536856693</v>
      </c>
      <c r="I18">
        <v>0.121</v>
      </c>
      <c r="J18">
        <f>J17+1</f>
        <v>13</v>
      </c>
      <c r="K18">
        <f t="shared" si="3"/>
        <v>0.9528301886792453</v>
      </c>
      <c r="L18">
        <f t="shared" si="4"/>
        <v>1.6729381968616508</v>
      </c>
      <c r="M18" s="174">
        <f t="shared" si="0"/>
        <v>-0.4126503334384495</v>
      </c>
      <c r="N18" s="175">
        <f t="shared" si="5"/>
        <v>0.3866781806715298</v>
      </c>
      <c r="O18" s="38">
        <f t="shared" si="1"/>
        <v>0.4888654900574433</v>
      </c>
      <c r="P18">
        <f t="shared" si="2"/>
        <v>-0.31081061932566734</v>
      </c>
    </row>
    <row r="19" spans="1:14" ht="12.75">
      <c r="A19">
        <v>5</v>
      </c>
      <c r="B19">
        <v>23</v>
      </c>
      <c r="C19" s="3">
        <v>0.239</v>
      </c>
      <c r="D19" s="3">
        <v>0.038</v>
      </c>
      <c r="E19" s="3">
        <f>D19/C19</f>
        <v>0.1589958158995816</v>
      </c>
      <c r="F19" s="3">
        <f>EXP(SQRT(LN(POWER(D19,2)/POWER(C19,2)+1)))</f>
        <v>1.1711714709739478</v>
      </c>
      <c r="G19" s="55">
        <f>LOG10(F19)</f>
        <v>0.06862048469323251</v>
      </c>
      <c r="H19">
        <f>LOG(C19/SQRT(POWER(D19,2)/POWER(C19,2)+1))</f>
        <v>-0.627023271914684</v>
      </c>
      <c r="I19">
        <v>0.075</v>
      </c>
      <c r="L19" s="174"/>
      <c r="M19" s="175"/>
      <c r="N19" s="38"/>
    </row>
    <row r="20" spans="3:14" ht="12.75">
      <c r="C20" s="3"/>
      <c r="D20" s="3"/>
      <c r="E20" s="3"/>
      <c r="F20" s="3"/>
      <c r="G20" s="56"/>
      <c r="L20" s="174"/>
      <c r="M20" s="175"/>
      <c r="N20" s="38"/>
    </row>
    <row r="21" spans="1:14" ht="12.75">
      <c r="A21" s="51" t="s">
        <v>308</v>
      </c>
      <c r="C21" s="3"/>
      <c r="D21" s="3"/>
      <c r="E21" s="3"/>
      <c r="F21" s="3"/>
      <c r="G21" s="56"/>
      <c r="L21" s="174"/>
      <c r="M21" s="175"/>
      <c r="N21" s="38"/>
    </row>
    <row r="22" spans="1:14" ht="12.75">
      <c r="A22" t="s">
        <v>222</v>
      </c>
      <c r="B22" t="s">
        <v>303</v>
      </c>
      <c r="C22" s="3"/>
      <c r="D22" s="3"/>
      <c r="E22" s="3"/>
      <c r="F22" s="3"/>
      <c r="G22" s="56"/>
      <c r="L22" s="174"/>
      <c r="M22" s="175"/>
      <c r="N22" s="38"/>
    </row>
    <row r="23" spans="1:14" ht="12.75">
      <c r="A23">
        <v>2.5</v>
      </c>
      <c r="B23">
        <v>13</v>
      </c>
      <c r="C23" s="3">
        <v>0.536</v>
      </c>
      <c r="D23" s="3">
        <v>0.024</v>
      </c>
      <c r="E23" s="3">
        <f>D23/C23</f>
        <v>0.04477611940298507</v>
      </c>
      <c r="F23" s="3">
        <f>EXP(SQRT(LN(POWER(D23,2)/POWER(C23,2)+1)))</f>
        <v>1.0457702558325397</v>
      </c>
      <c r="G23" s="55">
        <f>LOG10(F23)</f>
        <v>0.01943628531205298</v>
      </c>
      <c r="H23">
        <f>LOG(C23/SQRT(POWER(D23,2)/POWER(C23,2)+1))</f>
        <v>-0.27127013315621035</v>
      </c>
      <c r="I23">
        <v>0.0278</v>
      </c>
      <c r="L23" s="174"/>
      <c r="M23" s="175"/>
      <c r="N23" s="38"/>
    </row>
    <row r="24" spans="1:14" ht="12.75">
      <c r="A24">
        <v>3.5</v>
      </c>
      <c r="B24">
        <v>19</v>
      </c>
      <c r="C24" s="3">
        <v>0.424</v>
      </c>
      <c r="D24" s="3">
        <v>0.028999999999999998</v>
      </c>
      <c r="E24" s="3">
        <f>D24/C24</f>
        <v>0.06839622641509434</v>
      </c>
      <c r="F24" s="3">
        <f>EXP(SQRT(LN(POWER(D24,2)/POWER(C24,2)+1)))</f>
        <v>1.0707040666887828</v>
      </c>
      <c r="G24" s="55">
        <f>LOG10(F24)</f>
        <v>0.02966945219166168</v>
      </c>
      <c r="H24">
        <f>LOG(C24/SQRT(POWER(D24,2)/POWER(C24,2)+1))</f>
        <v>-0.3736475990577923</v>
      </c>
      <c r="I24">
        <v>0.0376</v>
      </c>
      <c r="L24" s="174"/>
      <c r="M24" s="175"/>
      <c r="N24" s="38"/>
    </row>
    <row r="25" spans="1:14" ht="12.75">
      <c r="A25">
        <v>5</v>
      </c>
      <c r="B25">
        <v>23</v>
      </c>
      <c r="C25" s="3">
        <v>0.306</v>
      </c>
      <c r="D25" s="3">
        <v>0.045</v>
      </c>
      <c r="E25" s="3">
        <f>D25/C25</f>
        <v>0.14705882352941177</v>
      </c>
      <c r="F25" s="3">
        <f>EXP(SQRT(LN(POWER(D25,2)/POWER(C25,2)+1)))</f>
        <v>1.1575120525012232</v>
      </c>
      <c r="G25" s="55">
        <f>LOG10(F25)</f>
        <v>0.06352552176992443</v>
      </c>
      <c r="H25">
        <f>LOG(C25/SQRT(POWER(D25,2)/POWER(C25,2)+1))</f>
        <v>-0.5189246052829224</v>
      </c>
      <c r="I25">
        <v>0.0729</v>
      </c>
      <c r="L25" s="174"/>
      <c r="M25" s="175"/>
      <c r="N25" s="38"/>
    </row>
    <row r="28" ht="18.75">
      <c r="A28" s="53" t="s">
        <v>248</v>
      </c>
    </row>
    <row r="29" spans="1:14" ht="18.75">
      <c r="A29" s="54" t="s">
        <v>246</v>
      </c>
      <c r="K29" t="s">
        <v>384</v>
      </c>
      <c r="L29" t="s">
        <v>158</v>
      </c>
      <c r="N29" s="176" t="s">
        <v>159</v>
      </c>
    </row>
    <row r="30" spans="1:14" ht="18.75">
      <c r="A30" s="51" t="s">
        <v>305</v>
      </c>
      <c r="K30" s="55">
        <v>0.028603753049166906</v>
      </c>
      <c r="L30">
        <v>-0.3429305617634875</v>
      </c>
      <c r="N30" s="177">
        <f>STDEV(P32:P51)</f>
        <v>0.03636415247458395</v>
      </c>
    </row>
    <row r="31" spans="1:9" ht="12.75">
      <c r="A31" t="s">
        <v>222</v>
      </c>
      <c r="B31" t="s">
        <v>303</v>
      </c>
      <c r="C31" t="s">
        <v>304</v>
      </c>
      <c r="D31" t="s">
        <v>366</v>
      </c>
      <c r="F31" t="s">
        <v>126</v>
      </c>
      <c r="G31" t="s">
        <v>384</v>
      </c>
      <c r="H31" t="s">
        <v>160</v>
      </c>
      <c r="I31" t="s">
        <v>247</v>
      </c>
    </row>
    <row r="32" spans="1:16" ht="12.75">
      <c r="A32">
        <v>2.5</v>
      </c>
      <c r="B32">
        <v>7</v>
      </c>
      <c r="C32" s="3">
        <v>0.712</v>
      </c>
      <c r="D32" s="3">
        <v>0.04</v>
      </c>
      <c r="E32" s="3">
        <f>D32/C32</f>
        <v>0.05617977528089888</v>
      </c>
      <c r="F32" s="3">
        <f>EXP(SQRT(LN(POWER(D32,2)/POWER(C32,2)+1)))</f>
        <v>1.0577410219565744</v>
      </c>
      <c r="G32" s="55">
        <f>LOG10(F32)</f>
        <v>0.024379347753021967</v>
      </c>
      <c r="H32">
        <f>LOG(C32/SQRT(POWER(D32,2)/POWER(C32,2)+1))</f>
        <v>-0.14820428007790296</v>
      </c>
      <c r="I32">
        <v>0.0449</v>
      </c>
      <c r="J32">
        <v>1</v>
      </c>
      <c r="K32">
        <f>(J32-(3/8))/7.25</f>
        <v>0.08620689655172414</v>
      </c>
      <c r="L32">
        <f>NORMSINV(K32)</f>
        <v>-1.364487616228871</v>
      </c>
      <c r="M32" s="174">
        <f>$L$30+($K$30*L32)</f>
        <v>-0.38196002857674455</v>
      </c>
      <c r="N32" s="175">
        <f>POWER(10,M32)</f>
        <v>0.41499223576751587</v>
      </c>
      <c r="O32" s="38">
        <f aca="true" t="shared" si="6" ref="O32:O38">-LN(1-N32)</f>
        <v>0.5361301596460748</v>
      </c>
      <c r="P32">
        <f aca="true" t="shared" si="7" ref="P32:P38">LOG(O32)</f>
        <v>-0.27072976113983943</v>
      </c>
    </row>
    <row r="33" spans="1:16" ht="12.75">
      <c r="A33">
        <v>3.5</v>
      </c>
      <c r="B33">
        <v>18</v>
      </c>
      <c r="C33" s="3">
        <v>0.806</v>
      </c>
      <c r="D33" s="3">
        <v>0.02</v>
      </c>
      <c r="E33" s="3">
        <f>D33/C33</f>
        <v>0.024813895781637715</v>
      </c>
      <c r="F33" s="3">
        <f>EXP(SQRT(LN(POWER(D33,2)/POWER(C33,2)+1)))</f>
        <v>1.0251204084950571</v>
      </c>
      <c r="G33" s="55">
        <f>LOG10(F33)</f>
        <v>0.010774879707635757</v>
      </c>
      <c r="H33">
        <f>LOG(C33/SQRT(POWER(D33,2)/POWER(C33,2)+1))</f>
        <v>-0.0937986209946361</v>
      </c>
      <c r="I33">
        <v>0.0253</v>
      </c>
      <c r="J33">
        <v>2</v>
      </c>
      <c r="K33">
        <f aca="true" t="shared" si="8" ref="K33:K38">(J33-(3/8))/7.25</f>
        <v>0.22413793103448276</v>
      </c>
      <c r="L33">
        <f aca="true" t="shared" si="9" ref="L33:L38">NORMSINV(K33)</f>
        <v>-0.7582923444715561</v>
      </c>
      <c r="M33" s="174">
        <f aca="true" t="shared" si="10" ref="M33:M38">$L$30+($K$30*L33)</f>
        <v>-0.3646205687238257</v>
      </c>
      <c r="N33" s="175">
        <f aca="true" t="shared" si="11" ref="N33:N38">POWER(10,M33)</f>
        <v>0.43189624804614113</v>
      </c>
      <c r="O33" s="38">
        <f t="shared" si="6"/>
        <v>0.565451215051041</v>
      </c>
      <c r="P33">
        <f t="shared" si="7"/>
        <v>-0.24760485837437787</v>
      </c>
    </row>
    <row r="34" spans="1:16" ht="12.75">
      <c r="A34">
        <v>5</v>
      </c>
      <c r="B34">
        <v>7</v>
      </c>
      <c r="C34" s="3">
        <v>0.862</v>
      </c>
      <c r="D34" s="3">
        <v>0.027</v>
      </c>
      <c r="E34" s="3">
        <f>D34/C34</f>
        <v>0.031322505800464036</v>
      </c>
      <c r="F34" s="3">
        <f>EXP(SQRT(LN(POWER(D34,2)/POWER(C34,2)+1)))</f>
        <v>1.0318102947630665</v>
      </c>
      <c r="G34" s="55">
        <f>LOG10(F34)</f>
        <v>0.013599856679844246</v>
      </c>
      <c r="H34">
        <f>LOG(C34/SQRT(POWER(D34,2)/POWER(C34,2)+1))</f>
        <v>-0.0647056727566178</v>
      </c>
      <c r="I34">
        <v>0.0401</v>
      </c>
      <c r="J34">
        <v>3</v>
      </c>
      <c r="K34">
        <f t="shared" si="8"/>
        <v>0.3620689655172414</v>
      </c>
      <c r="L34">
        <f t="shared" si="9"/>
        <v>-0.35293396649649367</v>
      </c>
      <c r="M34" s="174">
        <f t="shared" si="10"/>
        <v>-0.35302579778381615</v>
      </c>
      <c r="N34" s="175">
        <f t="shared" si="11"/>
        <v>0.44358229365419155</v>
      </c>
      <c r="O34" s="38">
        <f t="shared" si="6"/>
        <v>0.5862359963877747</v>
      </c>
      <c r="P34">
        <f t="shared" si="7"/>
        <v>-0.23192751828820918</v>
      </c>
    </row>
    <row r="35" spans="3:16" ht="12.75">
      <c r="C35" s="3"/>
      <c r="D35" s="3"/>
      <c r="E35" s="3"/>
      <c r="F35" s="3"/>
      <c r="G35" s="56"/>
      <c r="J35">
        <v>4</v>
      </c>
      <c r="K35">
        <f t="shared" si="8"/>
        <v>0.5</v>
      </c>
      <c r="L35">
        <f t="shared" si="9"/>
        <v>0</v>
      </c>
      <c r="M35" s="174">
        <f t="shared" si="10"/>
        <v>-0.3429305617634875</v>
      </c>
      <c r="N35" s="175">
        <f t="shared" si="11"/>
        <v>0.4540142020195464</v>
      </c>
      <c r="O35" s="38">
        <f t="shared" si="6"/>
        <v>0.6051623146003348</v>
      </c>
      <c r="P35">
        <f t="shared" si="7"/>
        <v>-0.2181281247181032</v>
      </c>
    </row>
    <row r="36" spans="1:16" ht="12.75">
      <c r="A36" s="51" t="s">
        <v>306</v>
      </c>
      <c r="C36" s="3"/>
      <c r="D36" s="3"/>
      <c r="E36" s="3"/>
      <c r="F36" s="3"/>
      <c r="G36" s="56"/>
      <c r="J36">
        <v>5</v>
      </c>
      <c r="K36">
        <f t="shared" si="8"/>
        <v>0.6379310344827587</v>
      </c>
      <c r="L36">
        <f t="shared" si="9"/>
        <v>0.35293396649649367</v>
      </c>
      <c r="M36" s="174">
        <f t="shared" si="10"/>
        <v>-0.3328353257431589</v>
      </c>
      <c r="N36" s="175">
        <f t="shared" si="11"/>
        <v>0.4646914418909149</v>
      </c>
      <c r="O36" s="38">
        <f t="shared" si="6"/>
        <v>0.6249119542099743</v>
      </c>
      <c r="P36">
        <f t="shared" si="7"/>
        <v>-0.20418116744689735</v>
      </c>
    </row>
    <row r="37" spans="1:16" ht="12.75">
      <c r="A37" t="s">
        <v>222</v>
      </c>
      <c r="B37" t="s">
        <v>303</v>
      </c>
      <c r="C37" s="3"/>
      <c r="D37" s="3"/>
      <c r="E37" s="3"/>
      <c r="F37" s="3"/>
      <c r="G37" s="56"/>
      <c r="J37">
        <v>6</v>
      </c>
      <c r="K37">
        <f t="shared" si="8"/>
        <v>0.7758620689655172</v>
      </c>
      <c r="L37">
        <f t="shared" si="9"/>
        <v>0.7582923444715561</v>
      </c>
      <c r="M37" s="174">
        <f t="shared" si="10"/>
        <v>-0.32124055480314934</v>
      </c>
      <c r="N37" s="175">
        <f t="shared" si="11"/>
        <v>0.4772648444341753</v>
      </c>
      <c r="O37" s="38">
        <f t="shared" si="6"/>
        <v>0.6486803378899346</v>
      </c>
      <c r="P37">
        <f t="shared" si="7"/>
        <v>-0.18796926574376346</v>
      </c>
    </row>
    <row r="38" spans="1:16" ht="12.75">
      <c r="A38">
        <v>2.5</v>
      </c>
      <c r="B38">
        <v>7</v>
      </c>
      <c r="C38" s="3">
        <v>0.205</v>
      </c>
      <c r="D38" s="3">
        <v>0.049</v>
      </c>
      <c r="E38" s="3">
        <f>D38/C38</f>
        <v>0.23902439024390246</v>
      </c>
      <c r="F38" s="3">
        <f>EXP(SQRT(LN(POWER(D38,2)/POWER(C38,2)+1)))</f>
        <v>1.2658098585859545</v>
      </c>
      <c r="G38" s="55">
        <f>LOG10(F38)</f>
        <v>0.10236847379452897</v>
      </c>
      <c r="H38">
        <f>LOG(C38/SQRT(POWER(D38,2)/POWER(C38,2)+1))</f>
        <v>-0.7003108840235486</v>
      </c>
      <c r="I38">
        <v>0.1062</v>
      </c>
      <c r="J38">
        <v>7</v>
      </c>
      <c r="K38">
        <f t="shared" si="8"/>
        <v>0.9137931034482759</v>
      </c>
      <c r="L38">
        <f t="shared" si="9"/>
        <v>1.364487616228871</v>
      </c>
      <c r="M38" s="174">
        <f t="shared" si="10"/>
        <v>-0.3039010949502305</v>
      </c>
      <c r="N38" s="175">
        <f t="shared" si="11"/>
        <v>0.4967054269201354</v>
      </c>
      <c r="O38" s="38">
        <f t="shared" si="6"/>
        <v>0.6865796479325745</v>
      </c>
      <c r="P38">
        <f t="shared" si="7"/>
        <v>-0.16330907437601244</v>
      </c>
    </row>
    <row r="39" spans="1:15" ht="12.75">
      <c r="A39">
        <v>3.5</v>
      </c>
      <c r="B39">
        <v>18</v>
      </c>
      <c r="C39" s="3">
        <v>0.091</v>
      </c>
      <c r="D39" s="3">
        <v>0.024</v>
      </c>
      <c r="E39" s="3">
        <f>D39/C39</f>
        <v>0.26373626373626374</v>
      </c>
      <c r="F39" s="3">
        <f>EXP(SQRT(LN(POWER(D39,2)/POWER(C39,2)+1)))</f>
        <v>1.2960422525336637</v>
      </c>
      <c r="G39" s="55">
        <f>LOG10(F39)</f>
        <v>0.1126191602869639</v>
      </c>
      <c r="H39">
        <f>LOG(C39/SQRT(POWER(D39,2)/POWER(C39,2)+1))</f>
        <v>-1.055560537696712</v>
      </c>
      <c r="I39">
        <v>0.1091</v>
      </c>
      <c r="M39" s="174"/>
      <c r="N39" s="175"/>
      <c r="O39" s="38"/>
    </row>
    <row r="40" spans="1:15" ht="12.75">
      <c r="A40">
        <v>5</v>
      </c>
      <c r="B40">
        <v>7</v>
      </c>
      <c r="C40" s="3">
        <v>0.276</v>
      </c>
      <c r="D40" s="3">
        <v>0.044</v>
      </c>
      <c r="E40" s="3">
        <f>D40/C40</f>
        <v>0.15942028985507245</v>
      </c>
      <c r="F40" s="3">
        <f>EXP(SQRT(LN(POWER(D40,2)/POWER(C40,2)+1)))</f>
        <v>1.1716594649348002</v>
      </c>
      <c r="G40" s="55">
        <f>LOG10(F40)</f>
        <v>0.06880140520628958</v>
      </c>
      <c r="H40">
        <f>LOG(C40/SQRT(POWER(D40,2)/POWER(C40,2)+1))</f>
        <v>-0.5645407147381117</v>
      </c>
      <c r="I40">
        <v>0.075</v>
      </c>
      <c r="M40" s="174"/>
      <c r="N40" s="175"/>
      <c r="O40" s="38"/>
    </row>
    <row r="41" spans="3:15" ht="12.75">
      <c r="C41" s="3"/>
      <c r="D41" s="3"/>
      <c r="E41" s="3"/>
      <c r="F41" s="3"/>
      <c r="G41" s="56"/>
      <c r="M41" s="174"/>
      <c r="N41" s="175"/>
      <c r="O41" s="38"/>
    </row>
    <row r="42" spans="1:15" ht="12.75">
      <c r="A42" s="51" t="s">
        <v>307</v>
      </c>
      <c r="C42" s="3"/>
      <c r="D42" s="3"/>
      <c r="E42" s="3"/>
      <c r="F42" s="3"/>
      <c r="G42" s="56"/>
      <c r="M42" s="174"/>
      <c r="N42" s="175"/>
      <c r="O42" s="38"/>
    </row>
    <row r="43" spans="1:15" ht="12.75">
      <c r="A43" t="s">
        <v>222</v>
      </c>
      <c r="B43" t="s">
        <v>303</v>
      </c>
      <c r="C43" s="3"/>
      <c r="D43" s="3"/>
      <c r="E43" s="3"/>
      <c r="F43" s="3"/>
      <c r="G43" s="56"/>
      <c r="M43" s="174"/>
      <c r="N43" s="175"/>
      <c r="O43" s="38"/>
    </row>
    <row r="44" spans="1:15" ht="12.75">
      <c r="A44">
        <v>2.5</v>
      </c>
      <c r="B44">
        <v>7</v>
      </c>
      <c r="C44" s="3">
        <v>0.071</v>
      </c>
      <c r="D44" s="3">
        <v>0.016</v>
      </c>
      <c r="E44" s="3">
        <f>D44/C44</f>
        <v>0.22535211267605637</v>
      </c>
      <c r="F44" s="3">
        <f>EXP(SQRT(LN(POWER(D44,2)/POWER(C44,2)+1)))</f>
        <v>1.249279737407235</v>
      </c>
      <c r="G44" s="55">
        <f>LOG10(F44)</f>
        <v>0.09665969602789844</v>
      </c>
      <c r="H44">
        <f>LOG(C44/SQRT(POWER(D44,2)/POWER(C44,2)+1))</f>
        <v>-1.1594982890296484</v>
      </c>
      <c r="I44">
        <v>0.0926</v>
      </c>
      <c r="M44" s="174"/>
      <c r="N44" s="175"/>
      <c r="O44" s="38"/>
    </row>
    <row r="45" spans="1:9" ht="12.75">
      <c r="A45">
        <v>3.5</v>
      </c>
      <c r="B45">
        <v>18</v>
      </c>
      <c r="C45" s="3">
        <v>0.172</v>
      </c>
      <c r="D45" s="3">
        <v>0.03</v>
      </c>
      <c r="E45" s="3">
        <f>D45/C45</f>
        <v>0.1744186046511628</v>
      </c>
      <c r="F45" s="3">
        <f>EXP(SQRT(LN(POWER(D45,2)/POWER(C45,2)+1)))</f>
        <v>1.1890010396931416</v>
      </c>
      <c r="G45" s="55">
        <f>LOG10(F45)</f>
        <v>0.07518223437714143</v>
      </c>
      <c r="H45">
        <f>LOG(C45/SQRT(POWER(D45,2)/POWER(C45,2)+1))</f>
        <v>-0.7709790826622128</v>
      </c>
      <c r="I45">
        <v>0.0764</v>
      </c>
    </row>
    <row r="46" spans="1:9" ht="12.75">
      <c r="A46">
        <v>5</v>
      </c>
      <c r="B46">
        <v>7</v>
      </c>
      <c r="C46" s="3">
        <v>0.13</v>
      </c>
      <c r="D46" s="3">
        <v>0.018</v>
      </c>
      <c r="E46" s="3">
        <f>D46/C46</f>
        <v>0.13846153846153844</v>
      </c>
      <c r="F46" s="3">
        <f>EXP(SQRT(LN(POWER(D46,2)/POWER(C46,2)+1)))</f>
        <v>1.1477513841635223</v>
      </c>
      <c r="G46" s="55">
        <f>LOG10(F46)</f>
        <v>0.059847825188193274</v>
      </c>
      <c r="H46">
        <f>LOG(C46/SQRT(POWER(D46,2)/POWER(C46,2)+1))</f>
        <v>-0.8901803037940419</v>
      </c>
      <c r="I46">
        <v>0.0593</v>
      </c>
    </row>
    <row r="47" spans="3:7" ht="12.75">
      <c r="C47" s="3"/>
      <c r="D47" s="3"/>
      <c r="E47" s="3"/>
      <c r="F47" s="3"/>
      <c r="G47" s="56"/>
    </row>
    <row r="48" spans="1:7" ht="12.75">
      <c r="A48" s="51" t="s">
        <v>308</v>
      </c>
      <c r="C48" s="3"/>
      <c r="D48" s="3"/>
      <c r="E48" s="3"/>
      <c r="F48" s="3"/>
      <c r="G48" s="56"/>
    </row>
    <row r="49" spans="1:7" ht="12.75">
      <c r="A49" t="s">
        <v>222</v>
      </c>
      <c r="B49" t="s">
        <v>303</v>
      </c>
      <c r="C49" s="3"/>
      <c r="D49" s="3"/>
      <c r="E49" s="3"/>
      <c r="F49" s="3"/>
      <c r="G49" s="56"/>
    </row>
    <row r="50" spans="1:9" ht="12.75">
      <c r="A50">
        <v>2.5</v>
      </c>
      <c r="B50">
        <v>7</v>
      </c>
      <c r="C50" s="3">
        <v>0.438</v>
      </c>
      <c r="D50" s="3">
        <v>0.057</v>
      </c>
      <c r="E50" s="3">
        <f>D50/C50</f>
        <v>0.13013698630136986</v>
      </c>
      <c r="F50" s="3">
        <f>EXP(SQRT(LN(POWER(D50,2)/POWER(C50,2)+1)))</f>
        <v>1.1383626929116075</v>
      </c>
      <c r="G50" s="55">
        <f>LOG10(F50)</f>
        <v>0.0562806543565188</v>
      </c>
      <c r="H50">
        <f>LOG(C50/SQRT(POWER(D50,2)/POWER(C50,2)+1))</f>
        <v>-0.36217262251552884</v>
      </c>
      <c r="I50">
        <v>0.0704</v>
      </c>
    </row>
    <row r="51" spans="1:9" ht="12.75">
      <c r="A51">
        <v>3.5</v>
      </c>
      <c r="B51">
        <v>18</v>
      </c>
      <c r="C51" s="3">
        <v>0.544</v>
      </c>
      <c r="D51" s="3">
        <v>0.031</v>
      </c>
      <c r="E51" s="3">
        <f>D51/C51</f>
        <v>0.05698529411764706</v>
      </c>
      <c r="F51" s="3">
        <f>EXP(SQRT(LN(POWER(D51,2)/POWER(C51,2)+1)))</f>
        <v>1.0585913538646152</v>
      </c>
      <c r="G51" s="55">
        <f>LOG10(F51)</f>
        <v>0.024728342532424695</v>
      </c>
      <c r="H51">
        <f>LOG(C51/SQRT(POWER(D51,2)/POWER(C51,2)+1))</f>
        <v>-0.26510510524533343</v>
      </c>
      <c r="I51">
        <v>0.0347</v>
      </c>
    </row>
    <row r="52" spans="1:9" ht="12.75">
      <c r="A52">
        <v>5</v>
      </c>
      <c r="B52">
        <v>7</v>
      </c>
      <c r="C52" s="3">
        <v>0.455</v>
      </c>
      <c r="D52" s="3">
        <v>0.03</v>
      </c>
      <c r="E52" s="3">
        <f>D52/C52</f>
        <v>0.06593406593406594</v>
      </c>
      <c r="F52" s="3">
        <f>EXP(SQRT(LN(POWER(D52,2)/POWER(C52,2)+1)))</f>
        <v>1.0680799265961962</v>
      </c>
      <c r="G52" s="55">
        <f>LOG10(F52)</f>
        <v>0.028603753049166906</v>
      </c>
      <c r="H52">
        <f>LOG(C52/SQRT(POWER(D52,2)/POWER(C52,2)+1))</f>
        <v>-0.3429305617634875</v>
      </c>
      <c r="I52">
        <v>0.0364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E1">
      <selection activeCell="F18" sqref="F18:R18"/>
    </sheetView>
  </sheetViews>
  <sheetFormatPr defaultColWidth="11.00390625" defaultRowHeight="12"/>
  <cols>
    <col min="1" max="16384" width="10.875" style="192" customWidth="1"/>
  </cols>
  <sheetData>
    <row r="1" ht="18.75">
      <c r="A1" s="191" t="s">
        <v>391</v>
      </c>
    </row>
    <row r="2" ht="12.75">
      <c r="A2" s="192" t="s">
        <v>392</v>
      </c>
    </row>
    <row r="4" ht="12.75">
      <c r="A4" s="192" t="s">
        <v>397</v>
      </c>
    </row>
    <row r="5" ht="12.75">
      <c r="A5" s="192" t="s">
        <v>398</v>
      </c>
    </row>
    <row r="7" ht="12.75">
      <c r="A7" s="192" t="s">
        <v>393</v>
      </c>
    </row>
    <row r="8" ht="15.75">
      <c r="D8" s="190" t="s">
        <v>71</v>
      </c>
    </row>
    <row r="10" spans="1:17" ht="12.75">
      <c r="A10" s="194" t="s">
        <v>396</v>
      </c>
      <c r="E10" s="193">
        <v>0.02</v>
      </c>
      <c r="H10" s="193">
        <v>0.04</v>
      </c>
      <c r="K10" s="193">
        <v>0.08</v>
      </c>
      <c r="N10" s="193">
        <v>0.13</v>
      </c>
      <c r="Q10" s="193">
        <v>0.24</v>
      </c>
    </row>
    <row r="12" spans="1:18" ht="12.75">
      <c r="A12" s="192" t="s">
        <v>127</v>
      </c>
      <c r="B12" s="192" t="s">
        <v>394</v>
      </c>
      <c r="D12" s="192" t="s">
        <v>387</v>
      </c>
      <c r="E12" s="192" t="s">
        <v>72</v>
      </c>
      <c r="F12" s="192" t="s">
        <v>218</v>
      </c>
      <c r="G12" s="192" t="s">
        <v>387</v>
      </c>
      <c r="H12" s="192" t="s">
        <v>72</v>
      </c>
      <c r="I12" s="192" t="s">
        <v>218</v>
      </c>
      <c r="J12" s="192" t="s">
        <v>387</v>
      </c>
      <c r="K12" s="192" t="s">
        <v>72</v>
      </c>
      <c r="L12" s="192" t="s">
        <v>218</v>
      </c>
      <c r="M12" s="192" t="s">
        <v>387</v>
      </c>
      <c r="N12" s="192" t="s">
        <v>72</v>
      </c>
      <c r="O12" s="192" t="s">
        <v>218</v>
      </c>
      <c r="P12" s="192" t="s">
        <v>387</v>
      </c>
      <c r="Q12" s="192" t="s">
        <v>72</v>
      </c>
      <c r="R12" s="192" t="s">
        <v>218</v>
      </c>
    </row>
    <row r="13" spans="1:18" ht="12.75">
      <c r="A13" s="192">
        <v>1</v>
      </c>
      <c r="B13" s="192">
        <v>59</v>
      </c>
      <c r="D13" s="192">
        <v>0.51</v>
      </c>
      <c r="E13" s="192">
        <f>-LN(1-D13)</f>
        <v>0.7133498878774648</v>
      </c>
      <c r="F13" s="192">
        <f>LOG(E13)</f>
        <v>-0.1466974026829814</v>
      </c>
      <c r="G13" s="192">
        <v>0.45</v>
      </c>
      <c r="H13" s="192">
        <f>-LN(1-G13)</f>
        <v>0.5978370007556204</v>
      </c>
      <c r="I13" s="192">
        <f>LOG(H13)</f>
        <v>-0.2234172095263945</v>
      </c>
      <c r="J13" s="192">
        <v>0.42</v>
      </c>
      <c r="K13" s="192">
        <f>-LN(1-J13)</f>
        <v>0.5447271754416719</v>
      </c>
      <c r="L13" s="192">
        <f>LOG(K13)</f>
        <v>-0.26382095802967165</v>
      </c>
      <c r="M13" s="192">
        <v>0.37</v>
      </c>
      <c r="N13" s="192">
        <f>-LN(1-M13)</f>
        <v>0.4620354595965587</v>
      </c>
      <c r="O13" s="192">
        <f>LOG(N13)</f>
        <v>-0.33532469259072195</v>
      </c>
      <c r="P13" s="192">
        <v>0.34</v>
      </c>
      <c r="Q13" s="192">
        <f>-LN(1-P13)</f>
        <v>0.4155154439616659</v>
      </c>
      <c r="R13" s="192">
        <f>LOG(Q13)</f>
        <v>-0.38141282963515083</v>
      </c>
    </row>
    <row r="14" spans="1:18" ht="12.75">
      <c r="A14" s="192">
        <v>2</v>
      </c>
      <c r="B14" s="192">
        <v>54</v>
      </c>
      <c r="D14" s="192">
        <v>0.55</v>
      </c>
      <c r="E14" s="192">
        <f>-LN(1-D14)</f>
        <v>0.7985076962177717</v>
      </c>
      <c r="F14" s="192">
        <f>LOG(E14)</f>
        <v>-0.09772089366600901</v>
      </c>
      <c r="G14" s="192">
        <v>0.41</v>
      </c>
      <c r="H14" s="192">
        <f>-LN(1-G14)</f>
        <v>0.5276327420823718</v>
      </c>
      <c r="I14" s="192">
        <f>LOG(H14)</f>
        <v>-0.27766826228319447</v>
      </c>
      <c r="J14" s="192">
        <v>0.41</v>
      </c>
      <c r="K14" s="192">
        <f>-LN(1-J14)</f>
        <v>0.5276327420823718</v>
      </c>
      <c r="L14" s="192">
        <f>LOG(K14)</f>
        <v>-0.27766826228319447</v>
      </c>
      <c r="M14" s="192">
        <v>0.36</v>
      </c>
      <c r="N14" s="192">
        <f>-LN(1-M14)</f>
        <v>0.44628710262841953</v>
      </c>
      <c r="O14" s="192">
        <f>LOG(N14)</f>
        <v>-0.350385663771713</v>
      </c>
      <c r="P14" s="192">
        <v>0.36</v>
      </c>
      <c r="Q14" s="192">
        <f>-LN(1-P14)</f>
        <v>0.44628710262841953</v>
      </c>
      <c r="R14" s="192">
        <f>LOG(Q14)</f>
        <v>-0.350385663771713</v>
      </c>
    </row>
    <row r="15" spans="1:18" ht="12.75">
      <c r="A15" s="192">
        <v>3</v>
      </c>
      <c r="B15" s="192">
        <v>59</v>
      </c>
      <c r="D15" s="192">
        <v>0.49</v>
      </c>
      <c r="E15" s="192">
        <f>-LN(1-D15)</f>
        <v>0.6733445532637656</v>
      </c>
      <c r="F15" s="192">
        <f>LOG(E15)</f>
        <v>-0.17176264857015267</v>
      </c>
      <c r="G15" s="192">
        <v>0.45</v>
      </c>
      <c r="H15" s="192">
        <f>-LN(1-G15)</f>
        <v>0.5978370007556204</v>
      </c>
      <c r="I15" s="192">
        <f>LOG(H15)</f>
        <v>-0.2234172095263945</v>
      </c>
      <c r="J15" s="192">
        <v>0.43</v>
      </c>
      <c r="K15" s="192">
        <f>-LN(1-J15)</f>
        <v>0.5621189181535411</v>
      </c>
      <c r="L15" s="192">
        <f>LOG(K15)</f>
        <v>-0.2501717982483658</v>
      </c>
      <c r="M15" s="192">
        <v>0.37</v>
      </c>
      <c r="N15" s="192">
        <f>-LN(1-M15)</f>
        <v>0.4620354595965587</v>
      </c>
      <c r="O15" s="192">
        <f>LOG(N15)</f>
        <v>-0.33532469259072195</v>
      </c>
      <c r="P15" s="192">
        <v>0.34</v>
      </c>
      <c r="Q15" s="192">
        <f>-LN(1-P15)</f>
        <v>0.4155154439616659</v>
      </c>
      <c r="R15" s="192">
        <f>LOG(Q15)</f>
        <v>-0.38141282963515083</v>
      </c>
    </row>
    <row r="16" spans="1:18" ht="12.75">
      <c r="A16" s="192">
        <v>4</v>
      </c>
      <c r="B16" s="192">
        <v>45</v>
      </c>
      <c r="D16" s="192">
        <v>0.57</v>
      </c>
      <c r="E16" s="192">
        <f>-LN(1-D16)</f>
        <v>0.8439700702945289</v>
      </c>
      <c r="F16" s="192">
        <f>LOG(E16)</f>
        <v>-0.07367295448383286</v>
      </c>
      <c r="G16" s="192">
        <v>0.46</v>
      </c>
      <c r="H16" s="192">
        <f>-LN(1-G16)</f>
        <v>0.616186139423817</v>
      </c>
      <c r="I16" s="192">
        <f>LOG(H16)</f>
        <v>-0.21028807498930588</v>
      </c>
      <c r="J16" s="192">
        <v>0.47</v>
      </c>
      <c r="K16" s="192">
        <f>-LN(1-J16)</f>
        <v>0.6348782724359695</v>
      </c>
      <c r="L16" s="192">
        <f>LOG(K16)</f>
        <v>-0.197309535616827</v>
      </c>
      <c r="M16" s="192">
        <v>0.41</v>
      </c>
      <c r="N16" s="192">
        <f>-LN(1-M16)</f>
        <v>0.5276327420823718</v>
      </c>
      <c r="O16" s="192">
        <f>LOG(N16)</f>
        <v>-0.27766826228319447</v>
      </c>
      <c r="P16" s="192">
        <v>0.39</v>
      </c>
      <c r="Q16" s="192">
        <f>-LN(1-P16)</f>
        <v>0.4942963218147801</v>
      </c>
      <c r="R16" s="192">
        <f>LOG(Q16)</f>
        <v>-0.3060126212233984</v>
      </c>
    </row>
    <row r="17" spans="1:18" ht="12.75">
      <c r="A17" s="192">
        <v>5</v>
      </c>
      <c r="B17" s="192">
        <v>31</v>
      </c>
      <c r="D17" s="192">
        <v>0.59</v>
      </c>
      <c r="E17" s="192">
        <f>-LN(1-D17)</f>
        <v>0.8915981192837835</v>
      </c>
      <c r="F17" s="192">
        <f>LOG(E17)</f>
        <v>-0.04983085628145476</v>
      </c>
      <c r="G17" s="192">
        <v>0.54</v>
      </c>
      <c r="H17" s="192">
        <f>-LN(1-G17)</f>
        <v>0.7765287894989965</v>
      </c>
      <c r="I17" s="192">
        <f>LOG(H17)</f>
        <v>-0.1098424383400924</v>
      </c>
      <c r="J17" s="192">
        <v>0.53</v>
      </c>
      <c r="K17" s="192">
        <f>-LN(1-J17)</f>
        <v>0.7550225842780328</v>
      </c>
      <c r="L17" s="192">
        <f>LOG(K17)</f>
        <v>-0.12204005753553515</v>
      </c>
      <c r="M17" s="192">
        <v>0.49</v>
      </c>
      <c r="N17" s="192">
        <f>-LN(1-M17)</f>
        <v>0.6733445532637656</v>
      </c>
      <c r="O17" s="192">
        <f>LOG(N17)</f>
        <v>-0.17176264857015267</v>
      </c>
      <c r="P17" s="192">
        <v>0.51</v>
      </c>
      <c r="Q17" s="192">
        <f>-LN(1-P17)</f>
        <v>0.7133498878774648</v>
      </c>
      <c r="R17" s="192">
        <f>LOG(Q17)</f>
        <v>-0.1466974026829814</v>
      </c>
    </row>
    <row r="18" spans="6:18" ht="12.75">
      <c r="F18" s="195">
        <f>STDEV(F13:F17)</f>
        <v>0.05057370812274196</v>
      </c>
      <c r="I18" s="195">
        <f>STDEV(I13:I17)</f>
        <v>0.061165546609866964</v>
      </c>
      <c r="L18" s="195">
        <f>STDEV(L13:L17)</f>
        <v>0.0637240202640369</v>
      </c>
      <c r="O18" s="195">
        <f>STDEV(O13:O17)</f>
        <v>0.07382996653144672</v>
      </c>
      <c r="R18" s="195">
        <f>STDEV(R13:R17)</f>
        <v>0.09806060107599532</v>
      </c>
    </row>
    <row r="19" ht="12.75">
      <c r="A19" s="194" t="s">
        <v>395</v>
      </c>
    </row>
    <row r="21" spans="1:18" ht="12.75">
      <c r="A21" s="192">
        <v>1</v>
      </c>
      <c r="B21" s="192">
        <v>27</v>
      </c>
      <c r="D21" s="192">
        <v>0.48</v>
      </c>
      <c r="E21" s="192">
        <f>-LN(1-D21)</f>
        <v>0.6539264674066639</v>
      </c>
      <c r="F21" s="192">
        <f>LOG(E21)</f>
        <v>-0.18447108438973517</v>
      </c>
      <c r="G21" s="192">
        <v>0.38</v>
      </c>
      <c r="H21" s="192">
        <f>-LN(1-G21)</f>
        <v>0.4780358009429998</v>
      </c>
      <c r="I21" s="192">
        <f>LOG(H21)</f>
        <v>-0.32053957709130587</v>
      </c>
      <c r="J21" s="192">
        <v>0.36</v>
      </c>
      <c r="K21" s="192">
        <f>-LN(1-J21)</f>
        <v>0.44628710262841953</v>
      </c>
      <c r="L21" s="192">
        <f>LOG(K21)</f>
        <v>-0.350385663771713</v>
      </c>
      <c r="M21" s="192">
        <v>0.3</v>
      </c>
      <c r="N21" s="192">
        <f>-LN(1-M21)</f>
        <v>0.3566749439387324</v>
      </c>
      <c r="O21" s="192">
        <f>LOG(N21)</f>
        <v>-0.44772739834696257</v>
      </c>
      <c r="P21" s="192">
        <v>0.26</v>
      </c>
      <c r="Q21" s="192">
        <f>-LN(1-P21)</f>
        <v>0.30110509278392167</v>
      </c>
      <c r="R21" s="192">
        <f>LOG(Q21)</f>
        <v>-0.5212818989234742</v>
      </c>
    </row>
    <row r="22" spans="1:18" ht="12.75">
      <c r="A22" s="192">
        <v>2</v>
      </c>
      <c r="B22" s="192">
        <v>32</v>
      </c>
      <c r="D22" s="192">
        <v>0.43</v>
      </c>
      <c r="E22" s="192">
        <f>-LN(1-D22)</f>
        <v>0.5621189181535411</v>
      </c>
      <c r="F22" s="192">
        <f>LOG(E22)</f>
        <v>-0.2501717982483658</v>
      </c>
      <c r="G22" s="192">
        <v>0.39</v>
      </c>
      <c r="H22" s="192">
        <f>-LN(1-G22)</f>
        <v>0.4942963218147801</v>
      </c>
      <c r="I22" s="192">
        <f>LOG(H22)</f>
        <v>-0.3060126212233984</v>
      </c>
      <c r="J22" s="192">
        <v>0.33</v>
      </c>
      <c r="K22" s="192">
        <f>-LN(1-J22)</f>
        <v>0.4004775665971254</v>
      </c>
      <c r="L22" s="192">
        <f>LOG(K22)</f>
        <v>-0.3974218066108305</v>
      </c>
      <c r="M22" s="192">
        <v>0.26</v>
      </c>
      <c r="N22" s="192">
        <f>-LN(1-M22)</f>
        <v>0.30110509278392167</v>
      </c>
      <c r="O22" s="192">
        <f>LOG(N22)</f>
        <v>-0.5212818989234742</v>
      </c>
      <c r="P22" s="192">
        <v>0.22</v>
      </c>
      <c r="Q22" s="192">
        <f>-LN(1-P22)</f>
        <v>0.24846135929849958</v>
      </c>
      <c r="R22" s="192">
        <f>LOG(Q22)</f>
        <v>-0.6047411431410941</v>
      </c>
    </row>
    <row r="23" spans="1:18" ht="12.75">
      <c r="A23" s="192">
        <v>3</v>
      </c>
      <c r="B23" s="192">
        <v>56</v>
      </c>
      <c r="D23" s="192">
        <v>0.43</v>
      </c>
      <c r="E23" s="192">
        <f>-LN(1-D23)</f>
        <v>0.5621189181535411</v>
      </c>
      <c r="F23" s="192">
        <f>LOG(E23)</f>
        <v>-0.2501717982483658</v>
      </c>
      <c r="G23" s="192">
        <v>0.38</v>
      </c>
      <c r="H23" s="192">
        <f>-LN(1-G23)</f>
        <v>0.4780358009429998</v>
      </c>
      <c r="I23" s="192">
        <f>LOG(H23)</f>
        <v>-0.32053957709130587</v>
      </c>
      <c r="J23" s="192">
        <v>0.35</v>
      </c>
      <c r="K23" s="192">
        <f>-LN(1-J23)</f>
        <v>0.43078291609245417</v>
      </c>
      <c r="L23" s="192">
        <f>LOG(K23)</f>
        <v>-0.36574152820110817</v>
      </c>
      <c r="M23" s="192">
        <v>0.3</v>
      </c>
      <c r="N23" s="192">
        <f>-LN(1-M23)</f>
        <v>0.3566749439387324</v>
      </c>
      <c r="O23" s="192">
        <f>LOG(N23)</f>
        <v>-0.44772739834696257</v>
      </c>
      <c r="P23" s="192">
        <v>0.27</v>
      </c>
      <c r="Q23" s="192">
        <f>-LN(1-P23)</f>
        <v>0.31471074483970024</v>
      </c>
      <c r="R23" s="192">
        <f>LOG(Q23)</f>
        <v>-0.5020884291715288</v>
      </c>
    </row>
    <row r="24" spans="6:18" ht="12.75">
      <c r="F24" s="196">
        <f>STDEV(F21:F23)</f>
        <v>0.03793232483223103</v>
      </c>
      <c r="I24" s="196">
        <f>STDEV(I21:I23)</f>
        <v>0.008387141880843354</v>
      </c>
      <c r="L24" s="196">
        <f>STDEV(L21:L23)</f>
        <v>0.023985555881522125</v>
      </c>
      <c r="O24" s="196">
        <f>STDEV(O21:O23)</f>
        <v>0.04246671070795857</v>
      </c>
      <c r="R24" s="196">
        <f>STDEV(R21:R23)</f>
        <v>0.05457626836487964</v>
      </c>
    </row>
    <row r="27" ht="12.75">
      <c r="A27" s="192" t="s">
        <v>73</v>
      </c>
    </row>
    <row r="28" ht="12.75">
      <c r="A28" s="192" t="s">
        <v>607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K34" sqref="K34"/>
    </sheetView>
  </sheetViews>
  <sheetFormatPr defaultColWidth="11.00390625" defaultRowHeight="12"/>
  <sheetData>
    <row r="1" ht="18.75">
      <c r="A1" s="33" t="s">
        <v>119</v>
      </c>
    </row>
    <row r="2" ht="18.75">
      <c r="A2" s="78" t="s">
        <v>179</v>
      </c>
    </row>
    <row r="3" spans="1:12" ht="12.75">
      <c r="A3" t="s">
        <v>120</v>
      </c>
      <c r="C3" t="s">
        <v>122</v>
      </c>
      <c r="E3" t="s">
        <v>124</v>
      </c>
      <c r="G3" t="s">
        <v>125</v>
      </c>
      <c r="H3" t="s">
        <v>431</v>
      </c>
      <c r="I3" t="s">
        <v>126</v>
      </c>
      <c r="J3" t="s">
        <v>384</v>
      </c>
      <c r="K3" t="s">
        <v>384</v>
      </c>
      <c r="L3" s="85" t="s">
        <v>323</v>
      </c>
    </row>
    <row r="4" spans="3:12" ht="12.75">
      <c r="C4" t="s">
        <v>121</v>
      </c>
      <c r="E4">
        <v>1</v>
      </c>
      <c r="G4">
        <v>0.2</v>
      </c>
      <c r="H4">
        <v>0.08</v>
      </c>
      <c r="I4">
        <f>EXP(SQRT(LN((POWER(H4,2))/(POWER(G4,2))+1)))</f>
        <v>1.469986431035469</v>
      </c>
      <c r="J4" s="13">
        <f>LOG10(I4)</f>
        <v>0.16731332593619058</v>
      </c>
      <c r="K4" s="6">
        <f>STDEV(C14:C29)</f>
        <v>0.17726086128263296</v>
      </c>
      <c r="L4" s="86">
        <f>K4/J4</f>
        <v>1.0594545311366061</v>
      </c>
    </row>
    <row r="5" spans="5:12" ht="12.75">
      <c r="E5">
        <v>2.3</v>
      </c>
      <c r="G5">
        <v>0.53</v>
      </c>
      <c r="H5">
        <v>0.09</v>
      </c>
      <c r="I5">
        <f>EXP(SQRT(LN((POWER(H5,2))/(POWER(G5,2))+1)))</f>
        <v>1.1836535848722305</v>
      </c>
      <c r="J5" s="13">
        <f>LOG10(I5)</f>
        <v>0.07322461776567693</v>
      </c>
      <c r="K5" s="6">
        <f>STDEV(E14:E29)</f>
        <v>0.07731286332736276</v>
      </c>
      <c r="L5" s="86">
        <f>K5/J5</f>
        <v>1.0558315725835328</v>
      </c>
    </row>
    <row r="6" spans="1:12" ht="12.75">
      <c r="A6" t="s">
        <v>123</v>
      </c>
      <c r="C6">
        <v>15</v>
      </c>
      <c r="E6">
        <v>1</v>
      </c>
      <c r="G6" s="3">
        <f>AVERAGE(F14:F29)</f>
        <v>0.16214285714285717</v>
      </c>
      <c r="H6" s="3">
        <f>STDEV(F14:F29)</f>
        <v>0.04492362260695205</v>
      </c>
      <c r="I6">
        <f>EXP(SQRT(LN((POWER(H6,2))/(POWER(G6,2))+1)))</f>
        <v>1.3125282201441233</v>
      </c>
      <c r="J6" s="13">
        <f>LOG10(I6)</f>
        <v>0.11810864977027352</v>
      </c>
      <c r="K6" s="6">
        <f>STDEV(G14:G29)</f>
        <v>0.12577431946798545</v>
      </c>
      <c r="L6" s="86">
        <f>K6/J6</f>
        <v>1.0649035418881003</v>
      </c>
    </row>
    <row r="7" spans="5:12" ht="12.75">
      <c r="E7">
        <v>2.3</v>
      </c>
      <c r="G7">
        <v>0.49</v>
      </c>
      <c r="H7">
        <v>0.08</v>
      </c>
      <c r="I7">
        <f>EXP(SQRT(LN((POWER(H7,2))/(POWER(G7,2))+1)))</f>
        <v>1.17608691785154</v>
      </c>
      <c r="J7" s="13">
        <f>LOG10(I7)</f>
        <v>0.07043941914522271</v>
      </c>
      <c r="K7" s="6">
        <f>STDEV(I14:I29)</f>
        <v>0.07094415402462277</v>
      </c>
      <c r="L7" s="86">
        <f>K7/J7</f>
        <v>1.007165517341355</v>
      </c>
    </row>
    <row r="8" ht="12.75">
      <c r="J8" s="3"/>
    </row>
    <row r="9" ht="12.75">
      <c r="J9" s="3"/>
    </row>
    <row r="10" ht="12.75">
      <c r="J10" s="3"/>
    </row>
    <row r="11" ht="12.75">
      <c r="J11" s="3"/>
    </row>
    <row r="12" spans="2:6" ht="12.75">
      <c r="B12" t="s">
        <v>128</v>
      </c>
      <c r="F12" t="s">
        <v>131</v>
      </c>
    </row>
    <row r="13" spans="1:9" ht="12.75">
      <c r="A13" t="s">
        <v>127</v>
      </c>
      <c r="B13" t="s">
        <v>129</v>
      </c>
      <c r="C13" t="s">
        <v>133</v>
      </c>
      <c r="D13" t="s">
        <v>130</v>
      </c>
      <c r="E13" t="s">
        <v>133</v>
      </c>
      <c r="F13" t="s">
        <v>129</v>
      </c>
      <c r="G13" t="s">
        <v>133</v>
      </c>
      <c r="H13" t="s">
        <v>130</v>
      </c>
      <c r="I13" t="s">
        <v>133</v>
      </c>
    </row>
    <row r="14" spans="1:9" ht="12.75">
      <c r="A14">
        <v>1</v>
      </c>
      <c r="B14">
        <v>0.18</v>
      </c>
      <c r="C14">
        <f>LOG10(B14)</f>
        <v>-0.7447274948966939</v>
      </c>
      <c r="D14">
        <v>0.53</v>
      </c>
      <c r="E14">
        <f>LOG10(D14)</f>
        <v>-0.27572413039921095</v>
      </c>
      <c r="F14">
        <v>0.13</v>
      </c>
      <c r="G14">
        <f>LOG10(F14)</f>
        <v>-0.8860566476931632</v>
      </c>
      <c r="H14">
        <v>0.45</v>
      </c>
      <c r="I14">
        <f>LOG10(H14)</f>
        <v>-0.3467874862246563</v>
      </c>
    </row>
    <row r="15" spans="1:9" ht="12.75">
      <c r="A15">
        <f>A14+1</f>
        <v>2</v>
      </c>
      <c r="B15">
        <v>0.2</v>
      </c>
      <c r="C15">
        <f aca="true" t="shared" si="0" ref="C15:C29">LOG10(B15)</f>
        <v>-0.6989700043360187</v>
      </c>
      <c r="D15">
        <v>0.42</v>
      </c>
      <c r="E15">
        <f aca="true" t="shared" si="1" ref="E15:E29">LOG10(D15)</f>
        <v>-0.37675070960209955</v>
      </c>
      <c r="F15">
        <v>0.11</v>
      </c>
      <c r="G15">
        <f aca="true" t="shared" si="2" ref="G15:G29">LOG10(F15)</f>
        <v>-0.9586073148417749</v>
      </c>
      <c r="H15">
        <v>0.46</v>
      </c>
      <c r="I15">
        <f aca="true" t="shared" si="3" ref="I15:I29">LOG10(H15)</f>
        <v>-0.3372421683184259</v>
      </c>
    </row>
    <row r="16" spans="1:9" ht="12.75">
      <c r="A16">
        <f aca="true" t="shared" si="4" ref="A16:A29">A15+1</f>
        <v>3</v>
      </c>
      <c r="B16">
        <v>0.35</v>
      </c>
      <c r="C16">
        <f t="shared" si="0"/>
        <v>-0.45593195564972444</v>
      </c>
      <c r="D16">
        <v>0.56</v>
      </c>
      <c r="E16">
        <f t="shared" si="1"/>
        <v>-0.25181197299379954</v>
      </c>
      <c r="F16">
        <v>0.14</v>
      </c>
      <c r="G16">
        <f t="shared" si="2"/>
        <v>-0.8538719643217619</v>
      </c>
      <c r="H16">
        <v>0.46</v>
      </c>
      <c r="I16">
        <f t="shared" si="3"/>
        <v>-0.3372421683184259</v>
      </c>
    </row>
    <row r="17" spans="1:9" ht="12.75">
      <c r="A17">
        <f t="shared" si="4"/>
        <v>4</v>
      </c>
      <c r="B17">
        <v>0.26</v>
      </c>
      <c r="C17">
        <f t="shared" si="0"/>
        <v>-0.585026652029182</v>
      </c>
      <c r="D17">
        <v>0.55</v>
      </c>
      <c r="E17">
        <f t="shared" si="1"/>
        <v>-0.2596373105057561</v>
      </c>
      <c r="F17">
        <v>0.23</v>
      </c>
      <c r="G17">
        <f t="shared" si="2"/>
        <v>-0.6382721639824072</v>
      </c>
      <c r="H17">
        <v>0.61</v>
      </c>
      <c r="I17">
        <f t="shared" si="3"/>
        <v>-0.21467016498923297</v>
      </c>
    </row>
    <row r="18" spans="1:7" ht="12.75">
      <c r="A18">
        <f t="shared" si="4"/>
        <v>5</v>
      </c>
      <c r="B18">
        <v>0.15</v>
      </c>
      <c r="C18">
        <f t="shared" si="0"/>
        <v>-0.8239087409443188</v>
      </c>
      <c r="D18">
        <v>0.51</v>
      </c>
      <c r="E18">
        <f t="shared" si="1"/>
        <v>-0.2924298239020636</v>
      </c>
      <c r="F18">
        <v>0.18</v>
      </c>
      <c r="G18">
        <f t="shared" si="2"/>
        <v>-0.7447274948966939</v>
      </c>
    </row>
    <row r="19" spans="1:9" ht="12.75">
      <c r="A19">
        <f t="shared" si="4"/>
        <v>6</v>
      </c>
      <c r="B19">
        <v>0.17</v>
      </c>
      <c r="C19">
        <f t="shared" si="0"/>
        <v>-0.769551078621726</v>
      </c>
      <c r="D19">
        <v>0.63</v>
      </c>
      <c r="E19">
        <f t="shared" si="1"/>
        <v>-0.2006594505464183</v>
      </c>
      <c r="F19">
        <v>0.16</v>
      </c>
      <c r="G19">
        <f t="shared" si="2"/>
        <v>-0.7958800173440752</v>
      </c>
      <c r="H19">
        <v>0.6</v>
      </c>
      <c r="I19">
        <f t="shared" si="3"/>
        <v>-0.22184874961635637</v>
      </c>
    </row>
    <row r="20" spans="1:9" ht="12.75">
      <c r="A20">
        <f t="shared" si="4"/>
        <v>7</v>
      </c>
      <c r="B20">
        <v>0.37</v>
      </c>
      <c r="C20">
        <f t="shared" si="0"/>
        <v>-0.431798275933005</v>
      </c>
      <c r="D20">
        <v>0.71</v>
      </c>
      <c r="E20">
        <f t="shared" si="1"/>
        <v>-0.14874165128092473</v>
      </c>
      <c r="F20">
        <v>0.22</v>
      </c>
      <c r="G20">
        <f t="shared" si="2"/>
        <v>-0.6575773191777937</v>
      </c>
      <c r="H20">
        <v>0.57</v>
      </c>
      <c r="I20">
        <f t="shared" si="3"/>
        <v>-0.24412514432750865</v>
      </c>
    </row>
    <row r="21" spans="1:9" ht="12.75">
      <c r="A21">
        <f t="shared" si="4"/>
        <v>8</v>
      </c>
      <c r="B21">
        <v>0.26</v>
      </c>
      <c r="C21">
        <f t="shared" si="0"/>
        <v>-0.585026652029182</v>
      </c>
      <c r="D21">
        <v>0.65</v>
      </c>
      <c r="E21">
        <f t="shared" si="1"/>
        <v>-0.1870866433571444</v>
      </c>
      <c r="F21">
        <v>0.21</v>
      </c>
      <c r="G21">
        <f t="shared" si="2"/>
        <v>-0.6777807052660807</v>
      </c>
      <c r="H21">
        <v>0.53</v>
      </c>
      <c r="I21">
        <f t="shared" si="3"/>
        <v>-0.27572413039921095</v>
      </c>
    </row>
    <row r="22" spans="1:9" ht="12.75">
      <c r="A22">
        <f t="shared" si="4"/>
        <v>9</v>
      </c>
      <c r="B22">
        <v>0.09</v>
      </c>
      <c r="C22">
        <f t="shared" si="0"/>
        <v>-1.045757490560675</v>
      </c>
      <c r="D22">
        <v>0.43</v>
      </c>
      <c r="E22">
        <f t="shared" si="1"/>
        <v>-0.36653154442041347</v>
      </c>
      <c r="F22">
        <v>0.17</v>
      </c>
      <c r="G22">
        <f t="shared" si="2"/>
        <v>-0.769551078621726</v>
      </c>
      <c r="H22">
        <v>0.49</v>
      </c>
      <c r="I22">
        <f t="shared" si="3"/>
        <v>-0.3098039199714863</v>
      </c>
    </row>
    <row r="23" spans="1:9" ht="12.75">
      <c r="A23">
        <f t="shared" si="4"/>
        <v>10</v>
      </c>
      <c r="B23">
        <v>0.14</v>
      </c>
      <c r="C23">
        <f t="shared" si="0"/>
        <v>-0.8538719643217619</v>
      </c>
      <c r="D23">
        <v>0.57</v>
      </c>
      <c r="E23">
        <f t="shared" si="1"/>
        <v>-0.24412514432750865</v>
      </c>
      <c r="F23">
        <v>0.1</v>
      </c>
      <c r="G23">
        <f t="shared" si="2"/>
        <v>-0.9999999999999999</v>
      </c>
      <c r="H23">
        <v>0.32</v>
      </c>
      <c r="I23">
        <f t="shared" si="3"/>
        <v>-0.494850021680094</v>
      </c>
    </row>
    <row r="24" spans="1:6" ht="12.75">
      <c r="A24">
        <f t="shared" si="4"/>
        <v>11</v>
      </c>
      <c r="B24">
        <v>0.1</v>
      </c>
      <c r="C24">
        <f t="shared" si="0"/>
        <v>-0.9999999999999999</v>
      </c>
      <c r="D24">
        <v>0.51</v>
      </c>
      <c r="E24">
        <f t="shared" si="1"/>
        <v>-0.2924298239020636</v>
      </c>
      <c r="F24" t="s">
        <v>134</v>
      </c>
    </row>
    <row r="25" spans="1:9" ht="12.75">
      <c r="A25">
        <f t="shared" si="4"/>
        <v>12</v>
      </c>
      <c r="B25">
        <v>0.17</v>
      </c>
      <c r="C25">
        <f t="shared" si="0"/>
        <v>-0.769551078621726</v>
      </c>
      <c r="D25">
        <v>0.57</v>
      </c>
      <c r="E25">
        <f t="shared" si="1"/>
        <v>-0.24412514432750865</v>
      </c>
      <c r="F25">
        <v>0.21</v>
      </c>
      <c r="G25">
        <f t="shared" si="2"/>
        <v>-0.6777807052660807</v>
      </c>
      <c r="H25">
        <v>0.5</v>
      </c>
      <c r="I25">
        <f t="shared" si="3"/>
        <v>-0.3010299956639812</v>
      </c>
    </row>
    <row r="26" spans="1:9" ht="12.75">
      <c r="A26">
        <f t="shared" si="4"/>
        <v>13</v>
      </c>
      <c r="B26">
        <v>0.15</v>
      </c>
      <c r="C26">
        <f t="shared" si="0"/>
        <v>-0.8239087409443188</v>
      </c>
      <c r="D26">
        <v>0.35</v>
      </c>
      <c r="E26">
        <f t="shared" si="1"/>
        <v>-0.45593195564972444</v>
      </c>
      <c r="F26">
        <v>0.13</v>
      </c>
      <c r="G26">
        <f t="shared" si="2"/>
        <v>-0.8860566476931632</v>
      </c>
      <c r="H26">
        <v>0.52</v>
      </c>
      <c r="I26">
        <f t="shared" si="3"/>
        <v>-0.2839966563652008</v>
      </c>
    </row>
    <row r="27" spans="1:9" ht="12.75">
      <c r="A27">
        <f t="shared" si="4"/>
        <v>14</v>
      </c>
      <c r="B27">
        <v>0.22</v>
      </c>
      <c r="C27">
        <f t="shared" si="0"/>
        <v>-0.6575773191777937</v>
      </c>
      <c r="D27">
        <v>0.5</v>
      </c>
      <c r="E27">
        <f t="shared" si="1"/>
        <v>-0.3010299956639812</v>
      </c>
      <c r="H27">
        <v>0.54</v>
      </c>
      <c r="I27">
        <f t="shared" si="3"/>
        <v>-0.2676062401770315</v>
      </c>
    </row>
    <row r="28" spans="1:9" ht="12.75">
      <c r="A28">
        <f t="shared" si="4"/>
        <v>15</v>
      </c>
      <c r="B28">
        <v>0.11</v>
      </c>
      <c r="C28">
        <f t="shared" si="0"/>
        <v>-0.9586073148417749</v>
      </c>
      <c r="D28">
        <v>0.47</v>
      </c>
      <c r="E28">
        <f t="shared" si="1"/>
        <v>-0.32790214206428253</v>
      </c>
      <c r="F28">
        <v>0.18</v>
      </c>
      <c r="G28">
        <f t="shared" si="2"/>
        <v>-0.7447274948966939</v>
      </c>
      <c r="H28">
        <v>0.54</v>
      </c>
      <c r="I28">
        <f t="shared" si="3"/>
        <v>-0.2676062401770315</v>
      </c>
    </row>
    <row r="29" spans="1:9" ht="12.75">
      <c r="A29">
        <f t="shared" si="4"/>
        <v>16</v>
      </c>
      <c r="B29">
        <v>0.2</v>
      </c>
      <c r="C29">
        <f t="shared" si="0"/>
        <v>-0.6989700043360187</v>
      </c>
      <c r="D29">
        <v>0.46</v>
      </c>
      <c r="E29">
        <f t="shared" si="1"/>
        <v>-0.3372421683184259</v>
      </c>
      <c r="F29">
        <v>0.1</v>
      </c>
      <c r="G29">
        <f t="shared" si="2"/>
        <v>-0.9999999999999999</v>
      </c>
      <c r="H29">
        <v>0.44</v>
      </c>
      <c r="I29">
        <f t="shared" si="3"/>
        <v>-0.3565473235138126</v>
      </c>
    </row>
    <row r="31" spans="1:11" ht="18.75">
      <c r="A31" s="78" t="s">
        <v>180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2" ht="12.75">
      <c r="A32" s="30" t="s">
        <v>120</v>
      </c>
      <c r="B32" s="30"/>
      <c r="C32" s="30" t="s">
        <v>122</v>
      </c>
      <c r="D32" s="30"/>
      <c r="E32" s="30" t="s">
        <v>124</v>
      </c>
      <c r="F32" s="30"/>
      <c r="G32" s="30" t="s">
        <v>125</v>
      </c>
      <c r="H32" s="30" t="s">
        <v>431</v>
      </c>
      <c r="I32" s="30" t="s">
        <v>126</v>
      </c>
      <c r="J32" s="30" t="s">
        <v>384</v>
      </c>
      <c r="K32" s="30" t="s">
        <v>384</v>
      </c>
      <c r="L32" s="85" t="s">
        <v>323</v>
      </c>
    </row>
    <row r="33" spans="1:12" ht="12.75">
      <c r="A33" s="30"/>
      <c r="B33" s="30"/>
      <c r="C33" s="30" t="s">
        <v>121</v>
      </c>
      <c r="D33" s="30"/>
      <c r="E33" s="30">
        <v>1</v>
      </c>
      <c r="F33" s="30"/>
      <c r="G33" s="76">
        <f>AVERAGE(B43:B58)</f>
        <v>0.22205955490035956</v>
      </c>
      <c r="H33" s="76">
        <f>STDEV(B43:B58)</f>
        <v>0.10667685226021123</v>
      </c>
      <c r="I33" s="76">
        <f>EXP(SQRT(LN((POWER(H33,2))/(POWER(G33,2))+1)))</f>
        <v>1.5772546676312</v>
      </c>
      <c r="J33" s="76">
        <f>LOG10(I33)</f>
        <v>0.19790182130450662</v>
      </c>
      <c r="K33" s="199">
        <f>STDEV(C43:C58)</f>
        <v>0.1986640289385185</v>
      </c>
      <c r="L33" s="86">
        <f>K33/J33</f>
        <v>1.0038514432509396</v>
      </c>
    </row>
    <row r="34" spans="1:12" ht="12.75">
      <c r="A34" s="30"/>
      <c r="B34" s="30"/>
      <c r="C34" s="30"/>
      <c r="D34" s="30"/>
      <c r="E34" s="30">
        <v>2.3</v>
      </c>
      <c r="F34" s="30"/>
      <c r="G34" s="76">
        <f>AVERAGE(D43:D58)</f>
        <v>0.7658087565538239</v>
      </c>
      <c r="H34" s="76">
        <f>STDEV(D43:D58)</f>
        <v>0.2041349315276903</v>
      </c>
      <c r="I34" s="76">
        <f>EXP(SQRT(LN((POWER(H34,2))/(POWER(G34,2))+1)))</f>
        <v>1.2995266553581177</v>
      </c>
      <c r="J34" s="76">
        <f>LOG10(I34)</f>
        <v>0.11378519199880052</v>
      </c>
      <c r="K34" s="199">
        <f>STDEV(E43:E58)</f>
        <v>0.11500757624662908</v>
      </c>
      <c r="L34" s="86">
        <f>K34/J34</f>
        <v>1.0107429115015374</v>
      </c>
    </row>
    <row r="35" spans="1:12" ht="12.75">
      <c r="A35" s="30" t="s">
        <v>123</v>
      </c>
      <c r="B35" s="30"/>
      <c r="C35" s="30">
        <v>15</v>
      </c>
      <c r="D35" s="30"/>
      <c r="E35" s="30">
        <v>1</v>
      </c>
      <c r="F35" s="30"/>
      <c r="G35" s="76">
        <f>AVERAGE(F43:F58)</f>
        <v>0.17824696465944267</v>
      </c>
      <c r="H35" s="76">
        <f>STDEV(F43:F58)</f>
        <v>0.05375690401851367</v>
      </c>
      <c r="I35" s="76">
        <f>EXP(SQRT(LN((POWER(H35,2))/(POWER(G35,2))+1)))</f>
        <v>1.343190108243859</v>
      </c>
      <c r="J35" s="76">
        <f>LOG10(I35)</f>
        <v>0.12813748483418627</v>
      </c>
      <c r="K35" s="77">
        <f>STDEV(G43:G58)</f>
        <v>0.13700581137326567</v>
      </c>
      <c r="L35" s="86">
        <f>K35/J35</f>
        <v>1.0692094631836677</v>
      </c>
    </row>
    <row r="36" spans="1:12" ht="12.75">
      <c r="A36" s="30"/>
      <c r="B36" s="30"/>
      <c r="C36" s="30"/>
      <c r="D36" s="30"/>
      <c r="E36" s="30">
        <v>2.3</v>
      </c>
      <c r="F36" s="30"/>
      <c r="G36" s="76">
        <f>AVERAGE(H43:H58)</f>
        <v>0.7075786192768033</v>
      </c>
      <c r="H36" s="76">
        <f>STDEV(H43:H58)</f>
        <v>0.1466209927140592</v>
      </c>
      <c r="I36" s="76">
        <f>EXP(SQRT(LN((POWER(H36,2))/(POWER(G36,2))+1)))</f>
        <v>1.2275754622301405</v>
      </c>
      <c r="J36" s="76">
        <f>LOG10(I36)</f>
        <v>0.08904819881765885</v>
      </c>
      <c r="K36" s="77">
        <f>STDEV(I43:I58)</f>
        <v>0.09880476260914732</v>
      </c>
      <c r="L36" s="86">
        <f>K36/J36</f>
        <v>1.109564976282863</v>
      </c>
    </row>
    <row r="40" spans="2:10" ht="12.75">
      <c r="B40" s="30"/>
      <c r="C40" s="30"/>
      <c r="D40" s="30"/>
      <c r="E40" s="30"/>
      <c r="F40" s="30"/>
      <c r="G40" s="30"/>
      <c r="H40" s="30"/>
      <c r="I40" s="30"/>
      <c r="J40" s="3"/>
    </row>
    <row r="41" spans="1:9" ht="12.75">
      <c r="A41" s="30"/>
      <c r="B41" s="30" t="s">
        <v>128</v>
      </c>
      <c r="C41" s="30"/>
      <c r="D41" s="30"/>
      <c r="E41" s="30"/>
      <c r="F41" s="30" t="s">
        <v>131</v>
      </c>
      <c r="G41" s="30"/>
      <c r="H41" s="30"/>
      <c r="I41" s="30"/>
    </row>
    <row r="42" spans="1:9" ht="12.75">
      <c r="A42" s="30" t="s">
        <v>127</v>
      </c>
      <c r="B42" s="30" t="s">
        <v>129</v>
      </c>
      <c r="C42" s="30" t="s">
        <v>133</v>
      </c>
      <c r="D42" s="30" t="s">
        <v>130</v>
      </c>
      <c r="E42" s="30" t="s">
        <v>133</v>
      </c>
      <c r="F42" s="30" t="s">
        <v>129</v>
      </c>
      <c r="G42" s="30" t="s">
        <v>133</v>
      </c>
      <c r="H42" s="30" t="s">
        <v>130</v>
      </c>
      <c r="I42" s="30" t="s">
        <v>133</v>
      </c>
    </row>
    <row r="43" spans="1:9" ht="12.75">
      <c r="A43" s="30">
        <v>1</v>
      </c>
      <c r="B43" s="30">
        <f>-LN(1-B14)</f>
        <v>0.19845093872383818</v>
      </c>
      <c r="C43" s="30">
        <f>LOG10(B43)</f>
        <v>-0.7023468424276733</v>
      </c>
      <c r="D43" s="30">
        <f>-LN(1-D14)</f>
        <v>0.7550225842780328</v>
      </c>
      <c r="E43" s="30">
        <f>LOG10(D43)</f>
        <v>-0.12204005753553515</v>
      </c>
      <c r="F43" s="30">
        <f aca="true" t="shared" si="5" ref="F43:F52">-LN(1-F14)</f>
        <v>0.13926206733350766</v>
      </c>
      <c r="G43" s="30">
        <f>LOG10(F43)</f>
        <v>-0.8561671620480555</v>
      </c>
      <c r="H43" s="30">
        <f>-LN(1-H14)</f>
        <v>0.5978370007556204</v>
      </c>
      <c r="I43" s="30">
        <f>LOG10(H43)</f>
        <v>-0.2234172095263945</v>
      </c>
    </row>
    <row r="44" spans="1:9" ht="12.75">
      <c r="A44" s="30">
        <f>A43+1</f>
        <v>2</v>
      </c>
      <c r="B44" s="30">
        <f aca="true" t="shared" si="6" ref="B44:B58">-LN(1-B15)</f>
        <v>0.22314355131420968</v>
      </c>
      <c r="C44" s="30">
        <f aca="true" t="shared" si="7" ref="C44:C58">LOG10(B44)</f>
        <v>-0.6514156594356943</v>
      </c>
      <c r="D44" s="30">
        <f aca="true" t="shared" si="8" ref="D44:D58">-LN(1-D15)</f>
        <v>0.5447271754416719</v>
      </c>
      <c r="E44" s="30">
        <f aca="true" t="shared" si="9" ref="E44:E58">LOG10(D44)</f>
        <v>-0.26382095802967165</v>
      </c>
      <c r="F44" s="30">
        <f t="shared" si="5"/>
        <v>0.11653381625595151</v>
      </c>
      <c r="G44" s="30">
        <f aca="true" t="shared" si="10" ref="G44:G58">LOG10(F44)</f>
        <v>-0.9335480310130718</v>
      </c>
      <c r="H44" s="30">
        <f>-LN(1-H15)</f>
        <v>0.616186139423817</v>
      </c>
      <c r="I44" s="30">
        <f aca="true" t="shared" si="11" ref="I44:I58">LOG10(H44)</f>
        <v>-0.21028807498930588</v>
      </c>
    </row>
    <row r="45" spans="1:9" ht="12.75">
      <c r="A45" s="30">
        <f aca="true" t="shared" si="12" ref="A45:A58">A44+1</f>
        <v>3</v>
      </c>
      <c r="B45" s="30">
        <f t="shared" si="6"/>
        <v>0.43078291609245417</v>
      </c>
      <c r="C45" s="30">
        <f t="shared" si="7"/>
        <v>-0.36574152820110817</v>
      </c>
      <c r="D45" s="30">
        <f t="shared" si="8"/>
        <v>0.8209805520698303</v>
      </c>
      <c r="E45" s="30">
        <f t="shared" si="9"/>
        <v>-0.08566713061356175</v>
      </c>
      <c r="F45" s="30">
        <f t="shared" si="5"/>
        <v>0.15082288973458366</v>
      </c>
      <c r="G45" s="30">
        <f t="shared" si="10"/>
        <v>-0.8215327424779075</v>
      </c>
      <c r="H45" s="30">
        <f>-LN(1-H16)</f>
        <v>0.616186139423817</v>
      </c>
      <c r="I45" s="30">
        <f t="shared" si="11"/>
        <v>-0.21028807498930588</v>
      </c>
    </row>
    <row r="46" spans="1:9" ht="12.75">
      <c r="A46" s="30">
        <f t="shared" si="12"/>
        <v>4</v>
      </c>
      <c r="B46" s="30">
        <f t="shared" si="6"/>
        <v>0.30110509278392167</v>
      </c>
      <c r="C46" s="30">
        <f t="shared" si="7"/>
        <v>-0.5212818989234742</v>
      </c>
      <c r="D46" s="30">
        <f t="shared" si="8"/>
        <v>0.7985076962177717</v>
      </c>
      <c r="E46" s="30">
        <f t="shared" si="9"/>
        <v>-0.09772089366600901</v>
      </c>
      <c r="F46" s="30">
        <f t="shared" si="5"/>
        <v>0.2613647641344075</v>
      </c>
      <c r="G46" s="30">
        <f t="shared" si="10"/>
        <v>-0.5827529621780622</v>
      </c>
      <c r="H46" s="30">
        <f>-LN(1-H17)</f>
        <v>0.9416085398584448</v>
      </c>
      <c r="I46" s="30">
        <f t="shared" si="11"/>
        <v>-0.02612961134072586</v>
      </c>
    </row>
    <row r="47" spans="1:9" ht="12.75">
      <c r="A47" s="30">
        <f t="shared" si="12"/>
        <v>5</v>
      </c>
      <c r="B47" s="30">
        <f t="shared" si="6"/>
        <v>0.1625189294977749</v>
      </c>
      <c r="C47" s="30">
        <f t="shared" si="7"/>
        <v>-0.7890960470073316</v>
      </c>
      <c r="D47" s="30">
        <f t="shared" si="8"/>
        <v>0.7133498878774648</v>
      </c>
      <c r="E47" s="30">
        <f t="shared" si="9"/>
        <v>-0.1466974026829814</v>
      </c>
      <c r="F47" s="30">
        <f t="shared" si="5"/>
        <v>0.19845093872383818</v>
      </c>
      <c r="G47" s="30">
        <f t="shared" si="10"/>
        <v>-0.7023468424276733</v>
      </c>
      <c r="H47" s="30"/>
      <c r="I47" s="30"/>
    </row>
    <row r="48" spans="1:9" ht="12.75">
      <c r="A48" s="30">
        <f t="shared" si="12"/>
        <v>6</v>
      </c>
      <c r="B48" s="30">
        <f t="shared" si="6"/>
        <v>0.18632957819149348</v>
      </c>
      <c r="C48" s="30">
        <f t="shared" si="7"/>
        <v>-0.7297181991792839</v>
      </c>
      <c r="D48" s="30">
        <f t="shared" si="8"/>
        <v>0.994252273343867</v>
      </c>
      <c r="E48" s="30">
        <f t="shared" si="9"/>
        <v>-0.002503407332609969</v>
      </c>
      <c r="F48" s="30">
        <f t="shared" si="5"/>
        <v>0.1743533871447778</v>
      </c>
      <c r="G48" s="30">
        <f t="shared" si="10"/>
        <v>-0.7585696112131687</v>
      </c>
      <c r="H48" s="30">
        <f>-LN(1-H19)</f>
        <v>0.916290731874155</v>
      </c>
      <c r="I48" s="30">
        <f t="shared" si="11"/>
        <v>-0.03796670622803395</v>
      </c>
    </row>
    <row r="49" spans="1:9" ht="12.75">
      <c r="A49" s="30">
        <f t="shared" si="12"/>
        <v>7</v>
      </c>
      <c r="B49" s="30">
        <f t="shared" si="6"/>
        <v>0.4620354595965587</v>
      </c>
      <c r="C49" s="30">
        <f t="shared" si="7"/>
        <v>-0.33532469259072195</v>
      </c>
      <c r="D49" s="30">
        <f t="shared" si="8"/>
        <v>1.2378743560016172</v>
      </c>
      <c r="E49" s="30">
        <f t="shared" si="9"/>
        <v>0.0926765661184026</v>
      </c>
      <c r="F49" s="30">
        <f t="shared" si="5"/>
        <v>0.24846135929849958</v>
      </c>
      <c r="G49" s="30">
        <f t="shared" si="10"/>
        <v>-0.6047411431410941</v>
      </c>
      <c r="H49" s="30">
        <f>-LN(1-H20)</f>
        <v>0.8439700702945289</v>
      </c>
      <c r="I49" s="30">
        <f t="shared" si="11"/>
        <v>-0.07367295448383286</v>
      </c>
    </row>
    <row r="50" spans="1:9" ht="12.75">
      <c r="A50" s="30">
        <f t="shared" si="12"/>
        <v>8</v>
      </c>
      <c r="B50" s="30">
        <f t="shared" si="6"/>
        <v>0.30110509278392167</v>
      </c>
      <c r="C50" s="30">
        <f t="shared" si="7"/>
        <v>-0.5212818989234742</v>
      </c>
      <c r="D50" s="30">
        <f t="shared" si="8"/>
        <v>1.0498221244986778</v>
      </c>
      <c r="E50" s="30">
        <f t="shared" si="9"/>
        <v>0.0211157210768562</v>
      </c>
      <c r="F50" s="30">
        <f t="shared" si="5"/>
        <v>0.23572233352106983</v>
      </c>
      <c r="G50" s="30">
        <f t="shared" si="10"/>
        <v>-0.6275992682798079</v>
      </c>
      <c r="H50" s="30">
        <f>-LN(1-H21)</f>
        <v>0.7550225842780328</v>
      </c>
      <c r="I50" s="30">
        <f t="shared" si="11"/>
        <v>-0.12204005753553515</v>
      </c>
    </row>
    <row r="51" spans="1:9" ht="12.75">
      <c r="A51" s="30">
        <f t="shared" si="12"/>
        <v>9</v>
      </c>
      <c r="B51" s="30">
        <f t="shared" si="6"/>
        <v>0.09431067947124128</v>
      </c>
      <c r="C51" s="30">
        <f t="shared" si="7"/>
        <v>-1.02543912621473</v>
      </c>
      <c r="D51" s="30">
        <f t="shared" si="8"/>
        <v>0.5621189181535411</v>
      </c>
      <c r="E51" s="30">
        <f t="shared" si="9"/>
        <v>-0.2501717982483658</v>
      </c>
      <c r="F51" s="30">
        <f t="shared" si="5"/>
        <v>0.18632957819149348</v>
      </c>
      <c r="G51" s="30">
        <f t="shared" si="10"/>
        <v>-0.7297181991792839</v>
      </c>
      <c r="H51" s="30">
        <f>-LN(1-H22)</f>
        <v>0.6733445532637656</v>
      </c>
      <c r="I51" s="30">
        <f t="shared" si="11"/>
        <v>-0.17176264857015267</v>
      </c>
    </row>
    <row r="52" spans="1:9" ht="12.75">
      <c r="A52" s="30">
        <f t="shared" si="12"/>
        <v>10</v>
      </c>
      <c r="B52" s="30">
        <f t="shared" si="6"/>
        <v>0.15082288973458366</v>
      </c>
      <c r="C52" s="30">
        <f t="shared" si="7"/>
        <v>-0.8215327424779075</v>
      </c>
      <c r="D52" s="30">
        <f t="shared" si="8"/>
        <v>0.8439700702945289</v>
      </c>
      <c r="E52" s="30">
        <f t="shared" si="9"/>
        <v>-0.07367295448383286</v>
      </c>
      <c r="F52" s="30">
        <f t="shared" si="5"/>
        <v>0.10536051565782627</v>
      </c>
      <c r="G52" s="30">
        <f t="shared" si="10"/>
        <v>-0.9773221125071639</v>
      </c>
      <c r="H52" s="30">
        <f>-LN(1-H23)</f>
        <v>0.3856624808119848</v>
      </c>
      <c r="I52" s="30">
        <f t="shared" si="11"/>
        <v>-0.41379260943288027</v>
      </c>
    </row>
    <row r="53" spans="1:9" ht="12.75">
      <c r="A53" s="30">
        <f t="shared" si="12"/>
        <v>11</v>
      </c>
      <c r="B53" s="30">
        <f t="shared" si="6"/>
        <v>0.10536051565782627</v>
      </c>
      <c r="C53" s="30">
        <f t="shared" si="7"/>
        <v>-0.9773221125071639</v>
      </c>
      <c r="D53" s="30">
        <f t="shared" si="8"/>
        <v>0.7133498878774648</v>
      </c>
      <c r="E53" s="30">
        <f t="shared" si="9"/>
        <v>-0.1466974026829814</v>
      </c>
      <c r="F53" s="30"/>
      <c r="G53" s="30"/>
      <c r="H53" s="30"/>
      <c r="I53" s="30"/>
    </row>
    <row r="54" spans="1:9" ht="12.75">
      <c r="A54" s="30">
        <f t="shared" si="12"/>
        <v>12</v>
      </c>
      <c r="B54" s="30">
        <f t="shared" si="6"/>
        <v>0.18632957819149348</v>
      </c>
      <c r="C54" s="30">
        <f t="shared" si="7"/>
        <v>-0.7297181991792839</v>
      </c>
      <c r="D54" s="30">
        <f t="shared" si="8"/>
        <v>0.8439700702945289</v>
      </c>
      <c r="E54" s="30">
        <f t="shared" si="9"/>
        <v>-0.07367295448383286</v>
      </c>
      <c r="F54" s="30">
        <f>-LN(1-F25)</f>
        <v>0.23572233352106983</v>
      </c>
      <c r="G54" s="30">
        <f t="shared" si="10"/>
        <v>-0.6275992682798079</v>
      </c>
      <c r="H54" s="30">
        <f>-LN(1-H25)</f>
        <v>0.6931471805599453</v>
      </c>
      <c r="I54" s="30">
        <f t="shared" si="11"/>
        <v>-0.1591745389548616</v>
      </c>
    </row>
    <row r="55" spans="1:9" ht="12.75">
      <c r="A55" s="30">
        <f t="shared" si="12"/>
        <v>13</v>
      </c>
      <c r="B55" s="30">
        <f t="shared" si="6"/>
        <v>0.1625189294977749</v>
      </c>
      <c r="C55" s="30">
        <f t="shared" si="7"/>
        <v>-0.7890960470073316</v>
      </c>
      <c r="D55" s="30">
        <f t="shared" si="8"/>
        <v>0.43078291609245417</v>
      </c>
      <c r="E55" s="30">
        <f t="shared" si="9"/>
        <v>-0.36574152820110817</v>
      </c>
      <c r="F55" s="30">
        <f>-LN(1-F26)</f>
        <v>0.13926206733350766</v>
      </c>
      <c r="G55" s="30">
        <f t="shared" si="10"/>
        <v>-0.8561671620480555</v>
      </c>
      <c r="H55" s="30">
        <f>-LN(1-H26)</f>
        <v>0.7339691750802004</v>
      </c>
      <c r="I55" s="30">
        <f t="shared" si="11"/>
        <v>-0.1343221790126526</v>
      </c>
    </row>
    <row r="56" spans="1:9" ht="12.75">
      <c r="A56" s="30">
        <f t="shared" si="12"/>
        <v>14</v>
      </c>
      <c r="B56" s="30">
        <f t="shared" si="6"/>
        <v>0.24846135929849958</v>
      </c>
      <c r="C56" s="30">
        <f t="shared" si="7"/>
        <v>-0.6047411431410941</v>
      </c>
      <c r="D56" s="30">
        <f t="shared" si="8"/>
        <v>0.6931471805599453</v>
      </c>
      <c r="E56" s="30">
        <f t="shared" si="9"/>
        <v>-0.1591745389548616</v>
      </c>
      <c r="F56" s="30"/>
      <c r="G56" s="30"/>
      <c r="H56" s="30">
        <f>-LN(1-H27)</f>
        <v>0.7765287894989965</v>
      </c>
      <c r="I56" s="30">
        <f t="shared" si="11"/>
        <v>-0.1098424383400924</v>
      </c>
    </row>
    <row r="57" spans="1:9" ht="12.75">
      <c r="A57" s="30">
        <f t="shared" si="12"/>
        <v>15</v>
      </c>
      <c r="B57" s="30">
        <f t="shared" si="6"/>
        <v>0.11653381625595151</v>
      </c>
      <c r="C57" s="30">
        <f t="shared" si="7"/>
        <v>-0.9335480310130718</v>
      </c>
      <c r="D57" s="30">
        <f t="shared" si="8"/>
        <v>0.6348782724359695</v>
      </c>
      <c r="E57" s="30">
        <f t="shared" si="9"/>
        <v>-0.197309535616827</v>
      </c>
      <c r="F57" s="30">
        <f>-LN(1-F28)</f>
        <v>0.19845093872383818</v>
      </c>
      <c r="G57" s="30">
        <f t="shared" si="10"/>
        <v>-0.7023468424276733</v>
      </c>
      <c r="H57" s="30">
        <f>-LN(1-H28)</f>
        <v>0.7765287894989965</v>
      </c>
      <c r="I57" s="30">
        <f t="shared" si="11"/>
        <v>-0.1098424383400924</v>
      </c>
    </row>
    <row r="58" spans="1:9" ht="12.75">
      <c r="A58" s="30">
        <f t="shared" si="12"/>
        <v>16</v>
      </c>
      <c r="B58" s="30">
        <f t="shared" si="6"/>
        <v>0.22314355131420968</v>
      </c>
      <c r="C58" s="30">
        <f t="shared" si="7"/>
        <v>-0.6514156594356943</v>
      </c>
      <c r="D58" s="30">
        <f t="shared" si="8"/>
        <v>0.616186139423817</v>
      </c>
      <c r="E58" s="30">
        <f t="shared" si="9"/>
        <v>-0.21028807498930588</v>
      </c>
      <c r="F58" s="30">
        <f>-LN(1-F29)</f>
        <v>0.10536051565782627</v>
      </c>
      <c r="G58" s="30">
        <f t="shared" si="10"/>
        <v>-0.9773221125071639</v>
      </c>
      <c r="H58" s="30">
        <f>-LN(1-H29)</f>
        <v>0.579818495252942</v>
      </c>
      <c r="I58" s="30">
        <f t="shared" si="11"/>
        <v>-0.2367079354829482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04"/>
  <sheetViews>
    <sheetView workbookViewId="0" topLeftCell="K1">
      <selection activeCell="R33" sqref="R33"/>
    </sheetView>
  </sheetViews>
  <sheetFormatPr defaultColWidth="11.00390625" defaultRowHeight="12"/>
  <sheetData>
    <row r="1" ht="18.75">
      <c r="A1" s="33" t="s">
        <v>221</v>
      </c>
    </row>
    <row r="2" ht="18.75">
      <c r="A2" s="96" t="s">
        <v>432</v>
      </c>
    </row>
    <row r="3" spans="1:11" ht="18.75">
      <c r="A3" s="79" t="s">
        <v>530</v>
      </c>
      <c r="K3" s="79" t="s">
        <v>547</v>
      </c>
    </row>
    <row r="4" spans="1:23" ht="12.75">
      <c r="A4" t="s">
        <v>127</v>
      </c>
      <c r="B4" t="s">
        <v>222</v>
      </c>
      <c r="C4" t="s">
        <v>223</v>
      </c>
      <c r="D4" t="s">
        <v>224</v>
      </c>
      <c r="E4" t="s">
        <v>132</v>
      </c>
      <c r="F4" t="s">
        <v>225</v>
      </c>
      <c r="K4" t="s">
        <v>127</v>
      </c>
      <c r="L4" t="s">
        <v>222</v>
      </c>
      <c r="M4" t="s">
        <v>223</v>
      </c>
      <c r="N4" t="s">
        <v>224</v>
      </c>
      <c r="O4" t="s">
        <v>132</v>
      </c>
      <c r="P4" t="s">
        <v>225</v>
      </c>
      <c r="W4" t="s">
        <v>300</v>
      </c>
    </row>
    <row r="5" spans="1:16" ht="12.75">
      <c r="A5" s="46">
        <v>1</v>
      </c>
      <c r="B5" s="3">
        <v>1.14</v>
      </c>
      <c r="C5">
        <v>220</v>
      </c>
      <c r="D5" s="5">
        <f>(C5/1000)*60</f>
        <v>13.2</v>
      </c>
      <c r="E5" s="3">
        <v>0.18</v>
      </c>
      <c r="F5" s="3">
        <f>LOG10(E5)</f>
        <v>-0.7447274948966939</v>
      </c>
      <c r="K5" s="46">
        <v>1</v>
      </c>
      <c r="L5" s="3">
        <v>1.14</v>
      </c>
      <c r="M5">
        <v>220</v>
      </c>
      <c r="N5" s="5">
        <f>(M5/1000)*60</f>
        <v>13.2</v>
      </c>
      <c r="O5" s="3">
        <f>-LN(1-E5)</f>
        <v>0.19845093872383818</v>
      </c>
      <c r="P5" s="3">
        <f>LOG10(O5)</f>
        <v>-0.7023468424276733</v>
      </c>
    </row>
    <row r="6" spans="1:25" ht="12.75">
      <c r="A6" s="46">
        <v>2</v>
      </c>
      <c r="B6" s="3">
        <v>1.14</v>
      </c>
      <c r="C6">
        <v>451</v>
      </c>
      <c r="D6" s="5">
        <f>C6/1000*60</f>
        <v>27.060000000000002</v>
      </c>
      <c r="E6" s="3">
        <v>0.2</v>
      </c>
      <c r="F6" s="3">
        <f aca="true" t="shared" si="0" ref="F6:F29">LOG10(E6)</f>
        <v>-0.6989700043360187</v>
      </c>
      <c r="K6" s="46">
        <v>2</v>
      </c>
      <c r="L6" s="3">
        <v>1.14</v>
      </c>
      <c r="M6">
        <v>451</v>
      </c>
      <c r="N6" s="5">
        <f>M6/1000*60</f>
        <v>27.060000000000002</v>
      </c>
      <c r="O6" s="3">
        <f aca="true" t="shared" si="1" ref="O6:O29">-LN(1-E6)</f>
        <v>0.22314355131420968</v>
      </c>
      <c r="P6" s="3">
        <f aca="true" t="shared" si="2" ref="P6:P29">LOG10(O6)</f>
        <v>-0.6514156594356943</v>
      </c>
      <c r="W6" t="s">
        <v>341</v>
      </c>
      <c r="X6" t="s">
        <v>299</v>
      </c>
      <c r="Y6" t="s">
        <v>34</v>
      </c>
    </row>
    <row r="7" spans="1:26" ht="12.75">
      <c r="A7" s="46">
        <v>3</v>
      </c>
      <c r="B7" s="3">
        <v>1.1</v>
      </c>
      <c r="C7">
        <v>511</v>
      </c>
      <c r="D7" s="5">
        <f aca="true" t="shared" si="3" ref="D7:D29">C7/1000*60</f>
        <v>30.66</v>
      </c>
      <c r="E7" s="3">
        <v>0.35</v>
      </c>
      <c r="F7" s="3">
        <f t="shared" si="0"/>
        <v>-0.45593195564972444</v>
      </c>
      <c r="K7" s="46">
        <v>3</v>
      </c>
      <c r="L7" s="3">
        <v>1.1</v>
      </c>
      <c r="M7">
        <v>511</v>
      </c>
      <c r="N7" s="5">
        <f aca="true" t="shared" si="4" ref="N7:N29">M7/1000*60</f>
        <v>30.66</v>
      </c>
      <c r="O7" s="3">
        <f t="shared" si="1"/>
        <v>0.43078291609245417</v>
      </c>
      <c r="P7" s="3">
        <f t="shared" si="2"/>
        <v>-0.36574152820110817</v>
      </c>
      <c r="W7">
        <v>0.1808</v>
      </c>
      <c r="X7">
        <f>W7^2</f>
        <v>0.03268864</v>
      </c>
      <c r="Y7">
        <v>28</v>
      </c>
      <c r="Z7">
        <f>Y7*X7</f>
        <v>0.91528192</v>
      </c>
    </row>
    <row r="8" spans="1:26" ht="12.75">
      <c r="A8" s="46">
        <v>4</v>
      </c>
      <c r="B8" s="3">
        <v>1.14</v>
      </c>
      <c r="C8">
        <v>322</v>
      </c>
      <c r="D8" s="5">
        <f t="shared" si="3"/>
        <v>19.32</v>
      </c>
      <c r="E8" s="3">
        <v>0.26</v>
      </c>
      <c r="F8" s="3">
        <f t="shared" si="0"/>
        <v>-0.585026652029182</v>
      </c>
      <c r="K8" s="46">
        <v>4</v>
      </c>
      <c r="L8" s="3">
        <v>1.14</v>
      </c>
      <c r="M8">
        <v>322</v>
      </c>
      <c r="N8" s="5">
        <f t="shared" si="4"/>
        <v>19.32</v>
      </c>
      <c r="O8" s="3">
        <f t="shared" si="1"/>
        <v>0.30110509278392167</v>
      </c>
      <c r="P8" s="3">
        <f t="shared" si="2"/>
        <v>-0.5212818989234742</v>
      </c>
      <c r="W8">
        <v>0.1379</v>
      </c>
      <c r="X8">
        <f>W8^2</f>
        <v>0.019016409999999997</v>
      </c>
      <c r="Y8">
        <v>28</v>
      </c>
      <c r="Z8">
        <f>Y8*X8</f>
        <v>0.53245948</v>
      </c>
    </row>
    <row r="9" spans="1:26" ht="12.75">
      <c r="A9" s="46">
        <v>5</v>
      </c>
      <c r="B9" s="3">
        <v>1.1</v>
      </c>
      <c r="C9">
        <v>323</v>
      </c>
      <c r="D9" s="5">
        <f t="shared" si="3"/>
        <v>19.38</v>
      </c>
      <c r="E9" s="3">
        <v>0.15</v>
      </c>
      <c r="F9" s="3">
        <f t="shared" si="0"/>
        <v>-0.8239087409443188</v>
      </c>
      <c r="K9" s="46">
        <v>5</v>
      </c>
      <c r="L9" s="3">
        <v>1.1</v>
      </c>
      <c r="M9">
        <v>323</v>
      </c>
      <c r="N9" s="5">
        <f t="shared" si="4"/>
        <v>19.38</v>
      </c>
      <c r="O9" s="3">
        <f t="shared" si="1"/>
        <v>0.1625189294977749</v>
      </c>
      <c r="P9" s="3">
        <f t="shared" si="2"/>
        <v>-0.7890960470073316</v>
      </c>
      <c r="W9">
        <v>0.1673</v>
      </c>
      <c r="X9">
        <f>W9^2</f>
        <v>0.02798929</v>
      </c>
      <c r="Y9">
        <v>11</v>
      </c>
      <c r="Z9">
        <f>Y9*X9</f>
        <v>0.30788219</v>
      </c>
    </row>
    <row r="10" spans="1:26" ht="12.75">
      <c r="A10" s="46">
        <v>6</v>
      </c>
      <c r="B10" s="3">
        <v>1.1</v>
      </c>
      <c r="C10">
        <v>324</v>
      </c>
      <c r="D10" s="5">
        <f t="shared" si="3"/>
        <v>19.44</v>
      </c>
      <c r="E10" s="3">
        <v>0.17</v>
      </c>
      <c r="F10" s="3">
        <f t="shared" si="0"/>
        <v>-0.769551078621726</v>
      </c>
      <c r="K10" s="46">
        <v>6</v>
      </c>
      <c r="L10" s="3">
        <v>1.1</v>
      </c>
      <c r="M10">
        <v>324</v>
      </c>
      <c r="N10" s="5">
        <f t="shared" si="4"/>
        <v>19.44</v>
      </c>
      <c r="O10" s="3">
        <f t="shared" si="1"/>
        <v>0.18632957819149348</v>
      </c>
      <c r="P10" s="3">
        <f t="shared" si="2"/>
        <v>-0.7297181991792839</v>
      </c>
      <c r="Y10">
        <f>SUM(Y7:Y9)</f>
        <v>67</v>
      </c>
      <c r="Z10">
        <f>SUM(Z7:Z9)</f>
        <v>1.75562359</v>
      </c>
    </row>
    <row r="11" spans="1:16" ht="12.75">
      <c r="A11" s="46">
        <v>7</v>
      </c>
      <c r="B11" s="3">
        <v>1.14</v>
      </c>
      <c r="C11">
        <v>275</v>
      </c>
      <c r="D11" s="5">
        <f t="shared" si="3"/>
        <v>16.5</v>
      </c>
      <c r="E11" s="3">
        <v>0.37</v>
      </c>
      <c r="F11" s="3">
        <f t="shared" si="0"/>
        <v>-0.431798275933005</v>
      </c>
      <c r="K11" s="46">
        <v>7</v>
      </c>
      <c r="L11" s="3">
        <v>1.14</v>
      </c>
      <c r="M11">
        <v>275</v>
      </c>
      <c r="N11" s="5">
        <f t="shared" si="4"/>
        <v>16.5</v>
      </c>
      <c r="O11" s="3">
        <f t="shared" si="1"/>
        <v>0.4620354595965587</v>
      </c>
      <c r="P11" s="3">
        <f t="shared" si="2"/>
        <v>-0.33532469259072195</v>
      </c>
    </row>
    <row r="12" spans="1:26" ht="12.75">
      <c r="A12" s="46">
        <v>8</v>
      </c>
      <c r="B12" s="3">
        <v>1.04</v>
      </c>
      <c r="C12">
        <v>279</v>
      </c>
      <c r="D12" s="5">
        <f t="shared" si="3"/>
        <v>16.740000000000002</v>
      </c>
      <c r="E12" s="3">
        <v>0.26</v>
      </c>
      <c r="F12" s="3">
        <f t="shared" si="0"/>
        <v>-0.585026652029182</v>
      </c>
      <c r="K12" s="46">
        <v>8</v>
      </c>
      <c r="L12" s="3">
        <v>1.04</v>
      </c>
      <c r="M12">
        <v>279</v>
      </c>
      <c r="N12" s="5">
        <f t="shared" si="4"/>
        <v>16.740000000000002</v>
      </c>
      <c r="O12" s="3">
        <f t="shared" si="1"/>
        <v>0.30110509278392167</v>
      </c>
      <c r="P12" s="3">
        <f t="shared" si="2"/>
        <v>-0.5212818989234742</v>
      </c>
      <c r="Z12">
        <f>SQRT(Z10/Y10)</f>
        <v>0.16187444876872664</v>
      </c>
    </row>
    <row r="13" spans="1:16" ht="12.75">
      <c r="A13" s="46">
        <v>9</v>
      </c>
      <c r="B13" s="3">
        <v>0.93</v>
      </c>
      <c r="C13">
        <v>393</v>
      </c>
      <c r="D13" s="5">
        <f t="shared" si="3"/>
        <v>23.580000000000002</v>
      </c>
      <c r="E13" s="3">
        <v>0.09</v>
      </c>
      <c r="F13" s="3">
        <f t="shared" si="0"/>
        <v>-1.045757490560675</v>
      </c>
      <c r="K13" s="46">
        <v>9</v>
      </c>
      <c r="L13" s="3">
        <v>0.93</v>
      </c>
      <c r="M13">
        <v>393</v>
      </c>
      <c r="N13" s="5">
        <f t="shared" si="4"/>
        <v>23.580000000000002</v>
      </c>
      <c r="O13" s="3">
        <f t="shared" si="1"/>
        <v>0.09431067947124128</v>
      </c>
      <c r="P13" s="3">
        <f t="shared" si="2"/>
        <v>-1.02543912621473</v>
      </c>
    </row>
    <row r="14" spans="1:16" ht="12.75">
      <c r="A14" s="46">
        <v>10</v>
      </c>
      <c r="B14" s="3">
        <v>1.17</v>
      </c>
      <c r="C14">
        <v>353</v>
      </c>
      <c r="D14" s="5">
        <f t="shared" si="3"/>
        <v>21.18</v>
      </c>
      <c r="E14" s="3">
        <v>0.14</v>
      </c>
      <c r="F14" s="3">
        <f t="shared" si="0"/>
        <v>-0.8538719643217619</v>
      </c>
      <c r="K14" s="46">
        <v>10</v>
      </c>
      <c r="L14" s="3">
        <v>1.17</v>
      </c>
      <c r="M14">
        <v>353</v>
      </c>
      <c r="N14" s="5">
        <f t="shared" si="4"/>
        <v>21.18</v>
      </c>
      <c r="O14" s="3">
        <f t="shared" si="1"/>
        <v>0.15082288973458366</v>
      </c>
      <c r="P14" s="3">
        <f t="shared" si="2"/>
        <v>-0.8215327424779075</v>
      </c>
    </row>
    <row r="15" spans="1:16" ht="12.75">
      <c r="A15" s="46">
        <v>11</v>
      </c>
      <c r="B15" s="3">
        <v>0.97</v>
      </c>
      <c r="C15">
        <v>309</v>
      </c>
      <c r="D15" s="5">
        <f t="shared" si="3"/>
        <v>18.54</v>
      </c>
      <c r="E15" s="3">
        <v>0.1</v>
      </c>
      <c r="F15" s="3">
        <f t="shared" si="0"/>
        <v>-0.9999999999999999</v>
      </c>
      <c r="K15" s="46">
        <v>11</v>
      </c>
      <c r="L15" s="3">
        <v>0.97</v>
      </c>
      <c r="M15">
        <v>309</v>
      </c>
      <c r="N15" s="5">
        <f t="shared" si="4"/>
        <v>18.54</v>
      </c>
      <c r="O15" s="3">
        <f t="shared" si="1"/>
        <v>0.10536051565782627</v>
      </c>
      <c r="P15" s="3">
        <f t="shared" si="2"/>
        <v>-0.9773221125071639</v>
      </c>
    </row>
    <row r="16" spans="1:16" ht="12.75">
      <c r="A16" s="46">
        <v>12</v>
      </c>
      <c r="B16" s="3">
        <v>0.98</v>
      </c>
      <c r="C16">
        <v>315</v>
      </c>
      <c r="D16" s="5">
        <f t="shared" si="3"/>
        <v>18.9</v>
      </c>
      <c r="E16" s="3">
        <v>0.17</v>
      </c>
      <c r="F16" s="3">
        <f t="shared" si="0"/>
        <v>-0.769551078621726</v>
      </c>
      <c r="K16" s="46">
        <v>12</v>
      </c>
      <c r="L16" s="3">
        <v>0.98</v>
      </c>
      <c r="M16">
        <v>315</v>
      </c>
      <c r="N16" s="5">
        <f t="shared" si="4"/>
        <v>18.9</v>
      </c>
      <c r="O16" s="3">
        <f t="shared" si="1"/>
        <v>0.18632957819149348</v>
      </c>
      <c r="P16" s="3">
        <f t="shared" si="2"/>
        <v>-0.7297181991792839</v>
      </c>
    </row>
    <row r="17" spans="1:16" ht="12.75">
      <c r="A17" s="46">
        <v>13</v>
      </c>
      <c r="B17" s="3">
        <v>0.89</v>
      </c>
      <c r="C17">
        <v>301</v>
      </c>
      <c r="D17" s="5">
        <f t="shared" si="3"/>
        <v>18.06</v>
      </c>
      <c r="E17" s="3">
        <v>0.15</v>
      </c>
      <c r="F17" s="3">
        <f t="shared" si="0"/>
        <v>-0.8239087409443188</v>
      </c>
      <c r="K17" s="46">
        <v>13</v>
      </c>
      <c r="L17" s="3">
        <v>0.89</v>
      </c>
      <c r="M17">
        <v>301</v>
      </c>
      <c r="N17" s="5">
        <f t="shared" si="4"/>
        <v>18.06</v>
      </c>
      <c r="O17" s="3">
        <f t="shared" si="1"/>
        <v>0.1625189294977749</v>
      </c>
      <c r="P17" s="3">
        <f t="shared" si="2"/>
        <v>-0.7890960470073316</v>
      </c>
    </row>
    <row r="18" spans="1:16" ht="12.75">
      <c r="A18" s="46">
        <v>14</v>
      </c>
      <c r="B18" s="3">
        <v>0.89</v>
      </c>
      <c r="C18">
        <v>216</v>
      </c>
      <c r="D18" s="5">
        <f t="shared" si="3"/>
        <v>12.959999999999999</v>
      </c>
      <c r="E18" s="3">
        <v>0.22</v>
      </c>
      <c r="F18" s="3">
        <f t="shared" si="0"/>
        <v>-0.6575773191777937</v>
      </c>
      <c r="K18" s="46">
        <v>14</v>
      </c>
      <c r="L18" s="3">
        <v>0.89</v>
      </c>
      <c r="M18">
        <v>216</v>
      </c>
      <c r="N18" s="5">
        <f t="shared" si="4"/>
        <v>12.959999999999999</v>
      </c>
      <c r="O18" s="3">
        <f t="shared" si="1"/>
        <v>0.24846135929849958</v>
      </c>
      <c r="P18" s="3">
        <f t="shared" si="2"/>
        <v>-0.6047411431410941</v>
      </c>
    </row>
    <row r="19" spans="1:16" ht="12.75">
      <c r="A19" s="46">
        <v>15</v>
      </c>
      <c r="B19" s="3">
        <v>0.92</v>
      </c>
      <c r="C19">
        <v>433</v>
      </c>
      <c r="D19" s="5">
        <f t="shared" si="3"/>
        <v>25.98</v>
      </c>
      <c r="E19" s="3">
        <v>0.11</v>
      </c>
      <c r="F19" s="3">
        <f t="shared" si="0"/>
        <v>-0.9586073148417749</v>
      </c>
      <c r="K19" s="46">
        <v>15</v>
      </c>
      <c r="L19" s="3">
        <v>0.92</v>
      </c>
      <c r="M19">
        <v>433</v>
      </c>
      <c r="N19" s="5">
        <f t="shared" si="4"/>
        <v>25.98</v>
      </c>
      <c r="O19" s="3">
        <f t="shared" si="1"/>
        <v>0.11653381625595151</v>
      </c>
      <c r="P19" s="3">
        <f t="shared" si="2"/>
        <v>-0.9335480310130718</v>
      </c>
    </row>
    <row r="20" spans="1:16" ht="12.75">
      <c r="A20" s="46">
        <v>16</v>
      </c>
      <c r="B20" s="3">
        <v>0.89</v>
      </c>
      <c r="C20">
        <v>325</v>
      </c>
      <c r="D20" s="5">
        <f t="shared" si="3"/>
        <v>19.5</v>
      </c>
      <c r="E20" s="3">
        <v>0.2</v>
      </c>
      <c r="F20" s="3">
        <f t="shared" si="0"/>
        <v>-0.6989700043360187</v>
      </c>
      <c r="K20" s="46">
        <v>16</v>
      </c>
      <c r="L20" s="3">
        <v>0.89</v>
      </c>
      <c r="M20">
        <v>325</v>
      </c>
      <c r="N20" s="5">
        <f t="shared" si="4"/>
        <v>19.5</v>
      </c>
      <c r="O20" s="3">
        <f t="shared" si="1"/>
        <v>0.22314355131420968</v>
      </c>
      <c r="P20" s="3">
        <f t="shared" si="2"/>
        <v>-0.6514156594356943</v>
      </c>
    </row>
    <row r="21" spans="1:16" ht="12.75">
      <c r="A21" s="46">
        <v>17</v>
      </c>
      <c r="B21" s="3">
        <v>1.19</v>
      </c>
      <c r="C21">
        <v>327</v>
      </c>
      <c r="D21" s="5">
        <f t="shared" si="3"/>
        <v>19.62</v>
      </c>
      <c r="E21" s="3">
        <v>0.2</v>
      </c>
      <c r="F21" s="3">
        <f t="shared" si="0"/>
        <v>-0.6989700043360187</v>
      </c>
      <c r="K21" s="46">
        <v>17</v>
      </c>
      <c r="L21" s="3">
        <v>1.19</v>
      </c>
      <c r="M21">
        <v>327</v>
      </c>
      <c r="N21" s="5">
        <f t="shared" si="4"/>
        <v>19.62</v>
      </c>
      <c r="O21" s="3">
        <f t="shared" si="1"/>
        <v>0.22314355131420968</v>
      </c>
      <c r="P21" s="3">
        <f t="shared" si="2"/>
        <v>-0.6514156594356943</v>
      </c>
    </row>
    <row r="22" spans="1:16" ht="12.75">
      <c r="A22" s="46">
        <v>201</v>
      </c>
      <c r="B22" s="3">
        <v>1.08</v>
      </c>
      <c r="C22">
        <v>225</v>
      </c>
      <c r="D22" s="5">
        <f t="shared" si="3"/>
        <v>13.5</v>
      </c>
      <c r="E22" s="3">
        <v>0.11</v>
      </c>
      <c r="F22" s="3">
        <f t="shared" si="0"/>
        <v>-0.9586073148417749</v>
      </c>
      <c r="K22" s="46">
        <v>201</v>
      </c>
      <c r="L22" s="3">
        <v>1.08</v>
      </c>
      <c r="M22">
        <v>225</v>
      </c>
      <c r="N22" s="5">
        <f t="shared" si="4"/>
        <v>13.5</v>
      </c>
      <c r="O22" s="3">
        <f t="shared" si="1"/>
        <v>0.11653381625595151</v>
      </c>
      <c r="P22" s="3">
        <f t="shared" si="2"/>
        <v>-0.9335480310130718</v>
      </c>
    </row>
    <row r="23" spans="1:16" ht="12.75">
      <c r="A23" s="46">
        <v>204</v>
      </c>
      <c r="B23" s="3">
        <v>1.08</v>
      </c>
      <c r="C23">
        <v>312</v>
      </c>
      <c r="D23" s="5">
        <f t="shared" si="3"/>
        <v>18.72</v>
      </c>
      <c r="E23" s="3">
        <v>0.22</v>
      </c>
      <c r="F23" s="3">
        <f t="shared" si="0"/>
        <v>-0.6575773191777937</v>
      </c>
      <c r="K23" s="46">
        <v>204</v>
      </c>
      <c r="L23" s="3">
        <v>1.08</v>
      </c>
      <c r="M23">
        <v>312</v>
      </c>
      <c r="N23" s="5">
        <f t="shared" si="4"/>
        <v>18.72</v>
      </c>
      <c r="O23" s="3">
        <f t="shared" si="1"/>
        <v>0.24846135929849958</v>
      </c>
      <c r="P23" s="3">
        <f t="shared" si="2"/>
        <v>-0.6047411431410941</v>
      </c>
    </row>
    <row r="24" spans="1:19" ht="12.75">
      <c r="A24" s="46">
        <v>205</v>
      </c>
      <c r="B24" s="3">
        <v>1.06</v>
      </c>
      <c r="C24">
        <v>309</v>
      </c>
      <c r="D24" s="5">
        <f t="shared" si="3"/>
        <v>18.54</v>
      </c>
      <c r="E24" s="3">
        <v>0.19</v>
      </c>
      <c r="F24" s="3">
        <f t="shared" si="0"/>
        <v>-0.721246399047171</v>
      </c>
      <c r="I24" s="47" t="s">
        <v>519</v>
      </c>
      <c r="K24" s="46">
        <v>205</v>
      </c>
      <c r="L24" s="3">
        <v>1.06</v>
      </c>
      <c r="M24">
        <v>309</v>
      </c>
      <c r="N24" s="5">
        <f t="shared" si="4"/>
        <v>18.54</v>
      </c>
      <c r="O24" s="3">
        <f t="shared" si="1"/>
        <v>0.21072103131565253</v>
      </c>
      <c r="P24" s="3">
        <f t="shared" si="2"/>
        <v>-0.6762921168431828</v>
      </c>
      <c r="S24" s="47" t="s">
        <v>519</v>
      </c>
    </row>
    <row r="25" spans="1:19" ht="12.75">
      <c r="A25" s="46">
        <v>206</v>
      </c>
      <c r="B25" s="3">
        <v>1.02</v>
      </c>
      <c r="C25">
        <v>245</v>
      </c>
      <c r="D25" s="5">
        <f t="shared" si="3"/>
        <v>14.7</v>
      </c>
      <c r="E25" s="3">
        <v>0.2</v>
      </c>
      <c r="F25" s="3">
        <f t="shared" si="0"/>
        <v>-0.6989700043360187</v>
      </c>
      <c r="I25">
        <f>COUNT(B5:B33)</f>
        <v>28</v>
      </c>
      <c r="K25" s="46">
        <v>206</v>
      </c>
      <c r="L25" s="3">
        <v>1.02</v>
      </c>
      <c r="M25">
        <v>245</v>
      </c>
      <c r="N25" s="5">
        <f t="shared" si="4"/>
        <v>14.7</v>
      </c>
      <c r="O25" s="3">
        <f t="shared" si="1"/>
        <v>0.22314355131420968</v>
      </c>
      <c r="P25" s="3">
        <f t="shared" si="2"/>
        <v>-0.6514156594356943</v>
      </c>
      <c r="S25">
        <f>COUNT(L5:L33)</f>
        <v>28</v>
      </c>
    </row>
    <row r="26" spans="1:19" ht="12.75">
      <c r="A26" s="46">
        <v>207</v>
      </c>
      <c r="B26" s="3">
        <v>1.05</v>
      </c>
      <c r="C26">
        <v>250</v>
      </c>
      <c r="D26" s="5">
        <f t="shared" si="3"/>
        <v>15</v>
      </c>
      <c r="E26" s="3">
        <v>0.21</v>
      </c>
      <c r="F26" s="3">
        <f t="shared" si="0"/>
        <v>-0.6777807052660807</v>
      </c>
      <c r="I26" s="48" t="s">
        <v>598</v>
      </c>
      <c r="K26" s="46">
        <v>207</v>
      </c>
      <c r="L26" s="3">
        <v>1.05</v>
      </c>
      <c r="M26">
        <v>250</v>
      </c>
      <c r="N26" s="5">
        <f t="shared" si="4"/>
        <v>15</v>
      </c>
      <c r="O26" s="3">
        <f t="shared" si="1"/>
        <v>0.23572233352106983</v>
      </c>
      <c r="P26" s="3">
        <f t="shared" si="2"/>
        <v>-0.6275992682798079</v>
      </c>
      <c r="S26" s="48" t="s">
        <v>598</v>
      </c>
    </row>
    <row r="27" spans="1:19" ht="12.75">
      <c r="A27" s="46">
        <v>208</v>
      </c>
      <c r="B27" s="3">
        <v>1.02</v>
      </c>
      <c r="C27">
        <v>290</v>
      </c>
      <c r="D27" s="5">
        <f t="shared" si="3"/>
        <v>17.4</v>
      </c>
      <c r="E27" s="3">
        <v>0.13</v>
      </c>
      <c r="F27" s="3">
        <f t="shared" si="0"/>
        <v>-0.8860566476931632</v>
      </c>
      <c r="I27" s="3">
        <f>AVERAGE(E5:E33)</f>
        <v>0.1842857142857143</v>
      </c>
      <c r="K27" s="46">
        <v>208</v>
      </c>
      <c r="L27" s="3">
        <v>1.02</v>
      </c>
      <c r="M27">
        <v>290</v>
      </c>
      <c r="N27" s="5">
        <f t="shared" si="4"/>
        <v>17.4</v>
      </c>
      <c r="O27" s="3">
        <f t="shared" si="1"/>
        <v>0.13926206733350766</v>
      </c>
      <c r="P27" s="3">
        <f t="shared" si="2"/>
        <v>-0.8561671620480555</v>
      </c>
      <c r="S27" s="3">
        <f>AVERAGE(O5:O33)</f>
        <v>0.20746838732758793</v>
      </c>
    </row>
    <row r="28" spans="1:19" ht="12.75">
      <c r="A28" s="46">
        <v>202</v>
      </c>
      <c r="B28" s="3">
        <v>1.03</v>
      </c>
      <c r="C28">
        <v>266</v>
      </c>
      <c r="D28" s="5">
        <f t="shared" si="3"/>
        <v>15.96</v>
      </c>
      <c r="E28" s="3">
        <v>0.13</v>
      </c>
      <c r="F28" s="3">
        <f t="shared" si="0"/>
        <v>-0.8860566476931632</v>
      </c>
      <c r="I28" s="47" t="s">
        <v>431</v>
      </c>
      <c r="K28" s="46">
        <v>202</v>
      </c>
      <c r="L28" s="3">
        <v>1.03</v>
      </c>
      <c r="M28">
        <v>266</v>
      </c>
      <c r="N28" s="5">
        <f t="shared" si="4"/>
        <v>15.96</v>
      </c>
      <c r="O28" s="3">
        <f t="shared" si="1"/>
        <v>0.13926206733350766</v>
      </c>
      <c r="P28" s="3">
        <f t="shared" si="2"/>
        <v>-0.8561671620480555</v>
      </c>
      <c r="S28" s="47" t="s">
        <v>431</v>
      </c>
    </row>
    <row r="29" spans="1:19" ht="12.75">
      <c r="A29" s="46">
        <v>203</v>
      </c>
      <c r="B29" s="3">
        <v>1.04</v>
      </c>
      <c r="C29">
        <v>288</v>
      </c>
      <c r="D29" s="5">
        <f t="shared" si="3"/>
        <v>17.279999999999998</v>
      </c>
      <c r="E29" s="3">
        <v>0.08</v>
      </c>
      <c r="F29" s="3">
        <f t="shared" si="0"/>
        <v>-1.0969100130080565</v>
      </c>
      <c r="I29" s="3">
        <f>STDEV(E5:E33)</f>
        <v>0.06989031466988885</v>
      </c>
      <c r="K29" s="46">
        <v>203</v>
      </c>
      <c r="L29" s="3">
        <v>1.04</v>
      </c>
      <c r="M29">
        <v>288</v>
      </c>
      <c r="N29" s="5">
        <f t="shared" si="4"/>
        <v>17.279999999999998</v>
      </c>
      <c r="O29" s="3">
        <f t="shared" si="1"/>
        <v>0.08338160893905103</v>
      </c>
      <c r="P29" s="3">
        <f t="shared" si="2"/>
        <v>-1.0789297289433515</v>
      </c>
      <c r="S29" s="3">
        <f>STDEV(O5:O33)</f>
        <v>0.09005323005394557</v>
      </c>
    </row>
    <row r="30" spans="1:19" ht="12.75">
      <c r="A30" s="46">
        <v>209</v>
      </c>
      <c r="B30" s="3"/>
      <c r="D30" s="5"/>
      <c r="E30" s="3"/>
      <c r="I30" t="s">
        <v>126</v>
      </c>
      <c r="K30" s="46">
        <v>209</v>
      </c>
      <c r="L30" s="3"/>
      <c r="N30" s="5"/>
      <c r="O30" s="3"/>
      <c r="S30" t="s">
        <v>126</v>
      </c>
    </row>
    <row r="31" spans="1:19" ht="12.75">
      <c r="A31" s="46">
        <v>210</v>
      </c>
      <c r="B31" s="3">
        <v>1.02</v>
      </c>
      <c r="C31">
        <v>326</v>
      </c>
      <c r="D31" s="5">
        <f>C31/1000*60</f>
        <v>19.560000000000002</v>
      </c>
      <c r="E31" s="3">
        <v>0.15</v>
      </c>
      <c r="F31" s="3">
        <f>LOG10(E31)</f>
        <v>-0.8239087409443188</v>
      </c>
      <c r="I31" s="3">
        <f>EXP(SQRT(LN(POWER(I29,2)/POWER(I27,2)+1)))</f>
        <v>1.4427952100834893</v>
      </c>
      <c r="K31" s="46">
        <v>210</v>
      </c>
      <c r="L31" s="3">
        <v>1.02</v>
      </c>
      <c r="M31">
        <v>326</v>
      </c>
      <c r="N31" s="5">
        <f>M31/1000*60</f>
        <v>19.560000000000002</v>
      </c>
      <c r="O31" s="3">
        <f>-LN(1-E31)</f>
        <v>0.1625189294977749</v>
      </c>
      <c r="P31" s="3">
        <f>LOG10(O31)</f>
        <v>-0.7890960470073316</v>
      </c>
      <c r="S31" s="3">
        <f>EXP(SQRT(LN(POWER(S29,2)/POWER(S27,2)+1)))</f>
        <v>1.5150782712703412</v>
      </c>
    </row>
    <row r="32" spans="1:20" ht="12.75">
      <c r="A32" s="46">
        <v>211</v>
      </c>
      <c r="B32" s="3">
        <v>1.19</v>
      </c>
      <c r="C32">
        <v>411</v>
      </c>
      <c r="D32" s="5">
        <f>C32/1000*60</f>
        <v>24.66</v>
      </c>
      <c r="E32" s="3">
        <v>0.17</v>
      </c>
      <c r="F32" s="3">
        <f>LOG10(E32)</f>
        <v>-0.769551078621726</v>
      </c>
      <c r="H32" t="s">
        <v>384</v>
      </c>
      <c r="I32" t="s">
        <v>384</v>
      </c>
      <c r="J32" s="85" t="s">
        <v>323</v>
      </c>
      <c r="K32" s="46">
        <v>211</v>
      </c>
      <c r="L32" s="3">
        <v>1.19</v>
      </c>
      <c r="M32">
        <v>411</v>
      </c>
      <c r="N32" s="5">
        <f>M32/1000*60</f>
        <v>24.66</v>
      </c>
      <c r="O32" s="3">
        <f>-LN(1-E32)</f>
        <v>0.18632957819149348</v>
      </c>
      <c r="P32" s="3">
        <f>LOG10(O32)</f>
        <v>-0.7297181991792839</v>
      </c>
      <c r="R32" t="s">
        <v>384</v>
      </c>
      <c r="S32" t="s">
        <v>384</v>
      </c>
      <c r="T32" s="85" t="s">
        <v>323</v>
      </c>
    </row>
    <row r="33" spans="1:20" ht="12.75">
      <c r="A33" s="46">
        <v>212</v>
      </c>
      <c r="B33" s="3">
        <v>1.19</v>
      </c>
      <c r="C33">
        <v>340</v>
      </c>
      <c r="D33" s="5">
        <f>C33/1000*60</f>
        <v>20.400000000000002</v>
      </c>
      <c r="E33" s="3">
        <v>0.25</v>
      </c>
      <c r="F33" s="3">
        <f>LOG10(E33)</f>
        <v>-0.6020599913279624</v>
      </c>
      <c r="H33" s="94">
        <f>STDEV(F5:F33)</f>
        <v>0.16274677281659689</v>
      </c>
      <c r="I33" s="40">
        <f>LOG10(I31)</f>
        <v>0.15920469184028</v>
      </c>
      <c r="J33" s="86">
        <f>H33/I33</f>
        <v>1.0222485966674302</v>
      </c>
      <c r="K33" s="46">
        <v>212</v>
      </c>
      <c r="L33" s="3">
        <v>1.19</v>
      </c>
      <c r="M33">
        <v>340</v>
      </c>
      <c r="N33" s="5">
        <f>M33/1000*60</f>
        <v>20.400000000000002</v>
      </c>
      <c r="O33" s="3">
        <f>-LN(1-E33)</f>
        <v>0.2876820724517809</v>
      </c>
      <c r="P33" s="3">
        <f>LOG10(O33)</f>
        <v>-0.5410872012930469</v>
      </c>
      <c r="R33" s="178">
        <f>STDEV(P5:P33)</f>
        <v>0.18075357335468561</v>
      </c>
      <c r="S33" s="40">
        <f>LOG10(S31)</f>
        <v>0.1804350697378129</v>
      </c>
      <c r="T33" s="86">
        <f>R33/S33</f>
        <v>1.001765197959219</v>
      </c>
    </row>
    <row r="34" spans="2:15" ht="12.75">
      <c r="B34" s="47" t="s">
        <v>598</v>
      </c>
      <c r="D34" s="47" t="s">
        <v>598</v>
      </c>
      <c r="E34" s="48" t="s">
        <v>598</v>
      </c>
      <c r="L34" s="47" t="s">
        <v>598</v>
      </c>
      <c r="N34" s="47" t="s">
        <v>598</v>
      </c>
      <c r="O34" s="48" t="s">
        <v>598</v>
      </c>
    </row>
    <row r="35" spans="2:15" ht="12.75">
      <c r="B35" s="3">
        <f>AVERAGE(B5:B33)</f>
        <v>1.0539285714285715</v>
      </c>
      <c r="D35" s="5">
        <f>AVERAGE(D5:D33)</f>
        <v>19.154999999999998</v>
      </c>
      <c r="E35" s="3">
        <f>AVERAGE(E5:E33)</f>
        <v>0.1842857142857143</v>
      </c>
      <c r="L35" s="3">
        <f>AVERAGE(L5:L33)</f>
        <v>1.0539285714285715</v>
      </c>
      <c r="N35" s="5">
        <f>AVERAGE(N5:N33)</f>
        <v>19.154999999999998</v>
      </c>
      <c r="O35" s="3">
        <f>AVERAGE(O5:O33)</f>
        <v>0.20746838732758793</v>
      </c>
    </row>
    <row r="37" spans="1:16" ht="12.75">
      <c r="A37" t="s">
        <v>127</v>
      </c>
      <c r="B37" t="s">
        <v>222</v>
      </c>
      <c r="C37" t="s">
        <v>223</v>
      </c>
      <c r="D37" t="s">
        <v>224</v>
      </c>
      <c r="E37" t="s">
        <v>132</v>
      </c>
      <c r="F37" t="s">
        <v>225</v>
      </c>
      <c r="K37" t="s">
        <v>127</v>
      </c>
      <c r="L37" t="s">
        <v>222</v>
      </c>
      <c r="M37" t="s">
        <v>223</v>
      </c>
      <c r="N37" t="s">
        <v>224</v>
      </c>
      <c r="O37" t="s">
        <v>132</v>
      </c>
      <c r="P37" t="s">
        <v>225</v>
      </c>
    </row>
    <row r="38" spans="1:16" ht="12.75">
      <c r="A38" s="46">
        <v>1</v>
      </c>
      <c r="B38" s="3">
        <v>2.28</v>
      </c>
      <c r="C38">
        <v>200.4</v>
      </c>
      <c r="D38" s="5">
        <f>(C38/1000)*60</f>
        <v>12.024</v>
      </c>
      <c r="E38" s="3">
        <v>0.53</v>
      </c>
      <c r="F38" s="3">
        <f>LOG10(E38)</f>
        <v>-0.27572413039921095</v>
      </c>
      <c r="K38" s="46">
        <v>1</v>
      </c>
      <c r="L38" s="3">
        <v>2.28</v>
      </c>
      <c r="M38">
        <v>200.4</v>
      </c>
      <c r="N38" s="5">
        <f>(M38/1000)*60</f>
        <v>12.024</v>
      </c>
      <c r="O38" s="3">
        <f>-LN(1-E38)</f>
        <v>0.7550225842780328</v>
      </c>
      <c r="P38" s="3">
        <f>LOG10(O38)</f>
        <v>-0.12204005753553515</v>
      </c>
    </row>
    <row r="39" spans="1:16" ht="12.75">
      <c r="A39" s="46">
        <v>2</v>
      </c>
      <c r="B39" s="3">
        <v>2.25</v>
      </c>
      <c r="C39">
        <v>316.4</v>
      </c>
      <c r="D39" s="5">
        <f>C39/1000*60</f>
        <v>18.983999999999998</v>
      </c>
      <c r="E39" s="3">
        <v>0.42</v>
      </c>
      <c r="F39" s="3">
        <f aca="true" t="shared" si="5" ref="F39:F63">LOG10(E39)</f>
        <v>-0.37675070960209955</v>
      </c>
      <c r="K39" s="46">
        <v>2</v>
      </c>
      <c r="L39" s="3">
        <v>2.25</v>
      </c>
      <c r="M39">
        <v>316.4</v>
      </c>
      <c r="N39" s="5">
        <f>M39/1000*60</f>
        <v>18.983999999999998</v>
      </c>
      <c r="O39" s="3">
        <f aca="true" t="shared" si="6" ref="O39:O66">-LN(1-E39)</f>
        <v>0.5447271754416719</v>
      </c>
      <c r="P39" s="3">
        <f aca="true" t="shared" si="7" ref="P39:P63">LOG10(O39)</f>
        <v>-0.26382095802967165</v>
      </c>
    </row>
    <row r="40" spans="1:16" ht="12.75">
      <c r="A40" s="46">
        <v>3</v>
      </c>
      <c r="B40" s="3">
        <v>2.29</v>
      </c>
      <c r="C40">
        <v>422</v>
      </c>
      <c r="D40" s="5">
        <f aca="true" t="shared" si="8" ref="D40:D63">C40/1000*60</f>
        <v>25.32</v>
      </c>
      <c r="E40" s="3">
        <v>0.56</v>
      </c>
      <c r="F40" s="3">
        <f t="shared" si="5"/>
        <v>-0.25181197299379954</v>
      </c>
      <c r="K40" s="46">
        <v>3</v>
      </c>
      <c r="L40" s="3">
        <v>2.29</v>
      </c>
      <c r="M40">
        <v>422</v>
      </c>
      <c r="N40" s="5">
        <f aca="true" t="shared" si="9" ref="N40:N63">M40/1000*60</f>
        <v>25.32</v>
      </c>
      <c r="O40" s="3">
        <f t="shared" si="6"/>
        <v>0.8209805520698303</v>
      </c>
      <c r="P40" s="3">
        <f t="shared" si="7"/>
        <v>-0.08566713061356175</v>
      </c>
    </row>
    <row r="41" spans="1:16" ht="12.75">
      <c r="A41" s="46">
        <v>4</v>
      </c>
      <c r="B41" s="3">
        <v>2.25</v>
      </c>
      <c r="C41">
        <v>335.3</v>
      </c>
      <c r="D41" s="5">
        <f t="shared" si="8"/>
        <v>20.118</v>
      </c>
      <c r="E41" s="3">
        <v>0.55</v>
      </c>
      <c r="F41" s="3">
        <f t="shared" si="5"/>
        <v>-0.2596373105057561</v>
      </c>
      <c r="K41" s="46">
        <v>4</v>
      </c>
      <c r="L41" s="3">
        <v>2.25</v>
      </c>
      <c r="M41">
        <v>335.3</v>
      </c>
      <c r="N41" s="5">
        <f t="shared" si="9"/>
        <v>20.118</v>
      </c>
      <c r="O41" s="3">
        <f t="shared" si="6"/>
        <v>0.7985076962177717</v>
      </c>
      <c r="P41" s="3">
        <f t="shared" si="7"/>
        <v>-0.09772089366600901</v>
      </c>
    </row>
    <row r="42" spans="1:16" ht="12.75">
      <c r="A42" s="46">
        <v>5</v>
      </c>
      <c r="B42" s="3">
        <v>2.26</v>
      </c>
      <c r="C42">
        <v>429.6</v>
      </c>
      <c r="D42" s="5">
        <f t="shared" si="8"/>
        <v>25.776000000000003</v>
      </c>
      <c r="E42" s="3">
        <v>0.51</v>
      </c>
      <c r="F42" s="3">
        <f t="shared" si="5"/>
        <v>-0.2924298239020636</v>
      </c>
      <c r="K42" s="46">
        <v>5</v>
      </c>
      <c r="L42" s="3">
        <v>2.26</v>
      </c>
      <c r="M42">
        <v>429.6</v>
      </c>
      <c r="N42" s="5">
        <f t="shared" si="9"/>
        <v>25.776000000000003</v>
      </c>
      <c r="O42" s="3">
        <f t="shared" si="6"/>
        <v>0.7133498878774648</v>
      </c>
      <c r="P42" s="3">
        <f t="shared" si="7"/>
        <v>-0.1466974026829814</v>
      </c>
    </row>
    <row r="43" spans="1:16" ht="12.75">
      <c r="A43" s="46">
        <v>6</v>
      </c>
      <c r="B43" s="3">
        <v>2.28</v>
      </c>
      <c r="C43">
        <v>381.7</v>
      </c>
      <c r="D43" s="5">
        <f t="shared" si="8"/>
        <v>22.901999999999997</v>
      </c>
      <c r="E43" s="3">
        <v>0.63</v>
      </c>
      <c r="F43" s="3">
        <f t="shared" si="5"/>
        <v>-0.2006594505464183</v>
      </c>
      <c r="K43" s="46">
        <v>6</v>
      </c>
      <c r="L43" s="3">
        <v>2.28</v>
      </c>
      <c r="M43">
        <v>381.7</v>
      </c>
      <c r="N43" s="5">
        <f t="shared" si="9"/>
        <v>22.901999999999997</v>
      </c>
      <c r="O43" s="3">
        <f t="shared" si="6"/>
        <v>0.994252273343867</v>
      </c>
      <c r="P43" s="3">
        <f t="shared" si="7"/>
        <v>-0.002503407332609969</v>
      </c>
    </row>
    <row r="44" spans="1:16" ht="12.75">
      <c r="A44" s="46">
        <v>7</v>
      </c>
      <c r="B44" s="3">
        <v>2.26</v>
      </c>
      <c r="C44">
        <v>250.6</v>
      </c>
      <c r="D44" s="5">
        <f t="shared" si="8"/>
        <v>15.036</v>
      </c>
      <c r="E44" s="3">
        <v>0.71</v>
      </c>
      <c r="F44" s="3">
        <f t="shared" si="5"/>
        <v>-0.14874165128092473</v>
      </c>
      <c r="K44" s="46">
        <v>7</v>
      </c>
      <c r="L44" s="3">
        <v>2.26</v>
      </c>
      <c r="M44">
        <v>250.6</v>
      </c>
      <c r="N44" s="5">
        <f t="shared" si="9"/>
        <v>15.036</v>
      </c>
      <c r="O44" s="3">
        <f t="shared" si="6"/>
        <v>1.2378743560016172</v>
      </c>
      <c r="P44" s="3">
        <f t="shared" si="7"/>
        <v>0.0926765661184026</v>
      </c>
    </row>
    <row r="45" spans="1:16" ht="12.75">
      <c r="A45" s="46">
        <v>8</v>
      </c>
      <c r="B45" s="3">
        <v>2.26</v>
      </c>
      <c r="C45">
        <v>207.2</v>
      </c>
      <c r="D45" s="5">
        <f t="shared" si="8"/>
        <v>12.432</v>
      </c>
      <c r="E45" s="3">
        <v>0.65</v>
      </c>
      <c r="F45" s="3">
        <f t="shared" si="5"/>
        <v>-0.1870866433571444</v>
      </c>
      <c r="K45" s="46">
        <v>8</v>
      </c>
      <c r="L45" s="3">
        <v>2.26</v>
      </c>
      <c r="M45">
        <v>207.2</v>
      </c>
      <c r="N45" s="5">
        <f t="shared" si="9"/>
        <v>12.432</v>
      </c>
      <c r="O45" s="3">
        <f t="shared" si="6"/>
        <v>1.0498221244986778</v>
      </c>
      <c r="P45" s="3">
        <f t="shared" si="7"/>
        <v>0.0211157210768562</v>
      </c>
    </row>
    <row r="46" spans="1:16" ht="12.75">
      <c r="A46" s="46">
        <v>9</v>
      </c>
      <c r="B46" s="3">
        <v>2.34</v>
      </c>
      <c r="C46">
        <v>323.9</v>
      </c>
      <c r="D46" s="5">
        <f t="shared" si="8"/>
        <v>19.433999999999997</v>
      </c>
      <c r="E46" s="3">
        <v>0.43</v>
      </c>
      <c r="F46" s="3">
        <f t="shared" si="5"/>
        <v>-0.36653154442041347</v>
      </c>
      <c r="K46" s="46">
        <v>9</v>
      </c>
      <c r="L46" s="3">
        <v>2.34</v>
      </c>
      <c r="M46">
        <v>323.9</v>
      </c>
      <c r="N46" s="5">
        <f t="shared" si="9"/>
        <v>19.433999999999997</v>
      </c>
      <c r="O46" s="3">
        <f t="shared" si="6"/>
        <v>0.5621189181535411</v>
      </c>
      <c r="P46" s="3">
        <f t="shared" si="7"/>
        <v>-0.2501717982483658</v>
      </c>
    </row>
    <row r="47" spans="1:16" ht="12.75">
      <c r="A47" s="46">
        <v>10</v>
      </c>
      <c r="B47" s="3">
        <v>2.3</v>
      </c>
      <c r="C47">
        <v>314.1</v>
      </c>
      <c r="D47" s="5">
        <f t="shared" si="8"/>
        <v>18.846000000000004</v>
      </c>
      <c r="E47" s="3">
        <v>0.57</v>
      </c>
      <c r="F47" s="3">
        <f t="shared" si="5"/>
        <v>-0.24412514432750865</v>
      </c>
      <c r="K47" s="46">
        <v>10</v>
      </c>
      <c r="L47" s="3">
        <v>2.3</v>
      </c>
      <c r="M47">
        <v>314.1</v>
      </c>
      <c r="N47" s="5">
        <f t="shared" si="9"/>
        <v>18.846000000000004</v>
      </c>
      <c r="O47" s="3">
        <f t="shared" si="6"/>
        <v>0.8439700702945289</v>
      </c>
      <c r="P47" s="3">
        <f t="shared" si="7"/>
        <v>-0.07367295448383286</v>
      </c>
    </row>
    <row r="48" spans="1:16" ht="12.75">
      <c r="A48" s="46">
        <v>11</v>
      </c>
      <c r="B48" s="3">
        <v>2.28</v>
      </c>
      <c r="C48">
        <v>324.9</v>
      </c>
      <c r="D48" s="5">
        <f t="shared" si="8"/>
        <v>19.494</v>
      </c>
      <c r="E48" s="3">
        <v>0.51</v>
      </c>
      <c r="F48" s="3">
        <f t="shared" si="5"/>
        <v>-0.2924298239020636</v>
      </c>
      <c r="K48" s="46">
        <v>11</v>
      </c>
      <c r="L48" s="3">
        <v>2.28</v>
      </c>
      <c r="M48">
        <v>324.9</v>
      </c>
      <c r="N48" s="5">
        <f t="shared" si="9"/>
        <v>19.494</v>
      </c>
      <c r="O48" s="3">
        <f t="shared" si="6"/>
        <v>0.7133498878774648</v>
      </c>
      <c r="P48" s="3">
        <f t="shared" si="7"/>
        <v>-0.1466974026829814</v>
      </c>
    </row>
    <row r="49" spans="1:16" ht="12.75">
      <c r="A49" s="46">
        <v>12</v>
      </c>
      <c r="B49" s="3">
        <v>2.28</v>
      </c>
      <c r="C49">
        <v>430.1</v>
      </c>
      <c r="D49" s="5">
        <f t="shared" si="8"/>
        <v>25.806</v>
      </c>
      <c r="E49" s="3">
        <v>0.57</v>
      </c>
      <c r="F49" s="3">
        <f t="shared" si="5"/>
        <v>-0.24412514432750865</v>
      </c>
      <c r="K49" s="46">
        <v>12</v>
      </c>
      <c r="L49" s="3">
        <v>2.28</v>
      </c>
      <c r="M49">
        <v>430.1</v>
      </c>
      <c r="N49" s="5">
        <f t="shared" si="9"/>
        <v>25.806</v>
      </c>
      <c r="O49" s="3">
        <f t="shared" si="6"/>
        <v>0.8439700702945289</v>
      </c>
      <c r="P49" s="3">
        <f t="shared" si="7"/>
        <v>-0.07367295448383286</v>
      </c>
    </row>
    <row r="50" spans="1:16" ht="12.75">
      <c r="A50" s="46">
        <v>13</v>
      </c>
      <c r="B50" s="3">
        <v>2.3</v>
      </c>
      <c r="C50">
        <v>263.5</v>
      </c>
      <c r="D50" s="5">
        <f t="shared" si="8"/>
        <v>15.81</v>
      </c>
      <c r="E50" s="3">
        <v>0.35</v>
      </c>
      <c r="F50" s="3">
        <f t="shared" si="5"/>
        <v>-0.45593195564972444</v>
      </c>
      <c r="K50" s="46">
        <v>13</v>
      </c>
      <c r="L50" s="3">
        <v>2.3</v>
      </c>
      <c r="M50">
        <v>263.5</v>
      </c>
      <c r="N50" s="5">
        <f t="shared" si="9"/>
        <v>15.81</v>
      </c>
      <c r="O50" s="3">
        <f t="shared" si="6"/>
        <v>0.43078291609245417</v>
      </c>
      <c r="P50" s="3">
        <f t="shared" si="7"/>
        <v>-0.36574152820110817</v>
      </c>
    </row>
    <row r="51" spans="1:16" ht="12.75">
      <c r="A51" s="46">
        <v>14</v>
      </c>
      <c r="B51" s="3">
        <v>2.3</v>
      </c>
      <c r="C51">
        <v>218.1</v>
      </c>
      <c r="D51" s="5">
        <f t="shared" si="8"/>
        <v>13.085999999999999</v>
      </c>
      <c r="E51" s="3">
        <v>0.5</v>
      </c>
      <c r="F51" s="3">
        <f t="shared" si="5"/>
        <v>-0.3010299956639812</v>
      </c>
      <c r="K51" s="46">
        <v>14</v>
      </c>
      <c r="L51" s="3">
        <v>2.3</v>
      </c>
      <c r="M51">
        <v>218.1</v>
      </c>
      <c r="N51" s="5">
        <f t="shared" si="9"/>
        <v>13.085999999999999</v>
      </c>
      <c r="O51" s="3">
        <f t="shared" si="6"/>
        <v>0.6931471805599453</v>
      </c>
      <c r="P51" s="3">
        <f t="shared" si="7"/>
        <v>-0.1591745389548616</v>
      </c>
    </row>
    <row r="52" spans="1:16" ht="12.75">
      <c r="A52" s="46">
        <v>15</v>
      </c>
      <c r="B52" s="3">
        <v>2.3</v>
      </c>
      <c r="C52">
        <v>303.9</v>
      </c>
      <c r="D52" s="5">
        <f t="shared" si="8"/>
        <v>18.234</v>
      </c>
      <c r="E52" s="3">
        <v>0.47</v>
      </c>
      <c r="F52" s="3">
        <f t="shared" si="5"/>
        <v>-0.32790214206428253</v>
      </c>
      <c r="K52" s="46">
        <v>15</v>
      </c>
      <c r="L52" s="3">
        <v>2.3</v>
      </c>
      <c r="M52">
        <v>303.9</v>
      </c>
      <c r="N52" s="5">
        <f t="shared" si="9"/>
        <v>18.234</v>
      </c>
      <c r="O52" s="3">
        <f t="shared" si="6"/>
        <v>0.6348782724359695</v>
      </c>
      <c r="P52" s="3">
        <f t="shared" si="7"/>
        <v>-0.197309535616827</v>
      </c>
    </row>
    <row r="53" spans="1:16" ht="12.75">
      <c r="A53" s="46">
        <v>16</v>
      </c>
      <c r="B53" s="3">
        <v>2.28</v>
      </c>
      <c r="C53">
        <v>235.4</v>
      </c>
      <c r="D53" s="5">
        <f t="shared" si="8"/>
        <v>14.124</v>
      </c>
      <c r="E53" s="3">
        <v>0.46</v>
      </c>
      <c r="F53" s="3">
        <f t="shared" si="5"/>
        <v>-0.3372421683184259</v>
      </c>
      <c r="K53" s="46">
        <v>16</v>
      </c>
      <c r="L53" s="3">
        <v>2.28</v>
      </c>
      <c r="M53">
        <v>235.4</v>
      </c>
      <c r="N53" s="5">
        <f t="shared" si="9"/>
        <v>14.124</v>
      </c>
      <c r="O53" s="3">
        <f t="shared" si="6"/>
        <v>0.616186139423817</v>
      </c>
      <c r="P53" s="3">
        <f t="shared" si="7"/>
        <v>-0.21028807498930588</v>
      </c>
    </row>
    <row r="54" spans="1:16" ht="12.75">
      <c r="A54" s="46">
        <v>17</v>
      </c>
      <c r="B54" s="3">
        <v>2.25</v>
      </c>
      <c r="C54">
        <v>337</v>
      </c>
      <c r="D54" s="5">
        <f t="shared" si="8"/>
        <v>20.220000000000002</v>
      </c>
      <c r="E54" s="3">
        <v>0.37</v>
      </c>
      <c r="F54" s="3">
        <f t="shared" si="5"/>
        <v>-0.431798275933005</v>
      </c>
      <c r="K54" s="46">
        <v>17</v>
      </c>
      <c r="L54" s="3">
        <v>2.25</v>
      </c>
      <c r="M54">
        <v>337</v>
      </c>
      <c r="N54" s="5">
        <f t="shared" si="9"/>
        <v>20.220000000000002</v>
      </c>
      <c r="O54" s="3">
        <f t="shared" si="6"/>
        <v>0.4620354595965587</v>
      </c>
      <c r="P54" s="3">
        <f t="shared" si="7"/>
        <v>-0.33532469259072195</v>
      </c>
    </row>
    <row r="55" spans="1:16" ht="12.75">
      <c r="A55" s="46">
        <v>201</v>
      </c>
      <c r="B55" s="3">
        <v>2.08</v>
      </c>
      <c r="C55">
        <v>212</v>
      </c>
      <c r="D55" s="5">
        <f t="shared" si="8"/>
        <v>12.719999999999999</v>
      </c>
      <c r="E55" s="3">
        <v>0.38</v>
      </c>
      <c r="F55" s="3">
        <f t="shared" si="5"/>
        <v>-0.4202164033831898</v>
      </c>
      <c r="K55" s="46">
        <v>201</v>
      </c>
      <c r="L55" s="3">
        <v>2.08</v>
      </c>
      <c r="M55">
        <v>212</v>
      </c>
      <c r="N55" s="5">
        <f t="shared" si="9"/>
        <v>12.719999999999999</v>
      </c>
      <c r="O55" s="3">
        <f t="shared" si="6"/>
        <v>0.4780358009429998</v>
      </c>
      <c r="P55" s="3">
        <f t="shared" si="7"/>
        <v>-0.32053957709130587</v>
      </c>
    </row>
    <row r="56" spans="1:16" ht="12.75">
      <c r="A56" s="46">
        <v>204</v>
      </c>
      <c r="B56" s="3">
        <v>2.07</v>
      </c>
      <c r="C56">
        <v>363</v>
      </c>
      <c r="D56" s="5">
        <f t="shared" si="8"/>
        <v>21.78</v>
      </c>
      <c r="E56" s="3">
        <v>0.51</v>
      </c>
      <c r="F56" s="3">
        <f t="shared" si="5"/>
        <v>-0.2924298239020636</v>
      </c>
      <c r="K56" s="46">
        <v>204</v>
      </c>
      <c r="L56" s="3">
        <v>2.07</v>
      </c>
      <c r="M56">
        <v>363</v>
      </c>
      <c r="N56" s="5">
        <f t="shared" si="9"/>
        <v>21.78</v>
      </c>
      <c r="O56" s="3">
        <f t="shared" si="6"/>
        <v>0.7133498878774648</v>
      </c>
      <c r="P56" s="3">
        <f t="shared" si="7"/>
        <v>-0.1466974026829814</v>
      </c>
    </row>
    <row r="57" spans="1:19" ht="12.75">
      <c r="A57" s="46">
        <v>205</v>
      </c>
      <c r="B57" s="3">
        <v>2.03</v>
      </c>
      <c r="C57">
        <v>315</v>
      </c>
      <c r="D57" s="5">
        <f t="shared" si="8"/>
        <v>18.9</v>
      </c>
      <c r="E57" s="3">
        <v>0.46</v>
      </c>
      <c r="F57" s="3">
        <f t="shared" si="5"/>
        <v>-0.3372421683184259</v>
      </c>
      <c r="I57" s="47" t="s">
        <v>519</v>
      </c>
      <c r="K57" s="46">
        <v>205</v>
      </c>
      <c r="L57" s="3">
        <v>2.03</v>
      </c>
      <c r="M57">
        <v>315</v>
      </c>
      <c r="N57" s="5">
        <f t="shared" si="9"/>
        <v>18.9</v>
      </c>
      <c r="O57" s="3">
        <f t="shared" si="6"/>
        <v>0.616186139423817</v>
      </c>
      <c r="P57" s="3">
        <f t="shared" si="7"/>
        <v>-0.21028807498930588</v>
      </c>
      <c r="S57" s="47" t="s">
        <v>519</v>
      </c>
    </row>
    <row r="58" spans="1:19" ht="12.75">
      <c r="A58" s="46">
        <v>206</v>
      </c>
      <c r="B58" s="3">
        <v>2.08</v>
      </c>
      <c r="C58">
        <v>242</v>
      </c>
      <c r="D58" s="5">
        <f t="shared" si="8"/>
        <v>14.52</v>
      </c>
      <c r="E58" s="3">
        <v>0.52</v>
      </c>
      <c r="F58" s="3">
        <f t="shared" si="5"/>
        <v>-0.2839966563652008</v>
      </c>
      <c r="I58">
        <f>COUNT(B38:B66)</f>
        <v>29</v>
      </c>
      <c r="K58" s="46">
        <v>206</v>
      </c>
      <c r="L58" s="3">
        <v>2.08</v>
      </c>
      <c r="M58">
        <v>242</v>
      </c>
      <c r="N58" s="5">
        <f t="shared" si="9"/>
        <v>14.52</v>
      </c>
      <c r="O58" s="3">
        <f t="shared" si="6"/>
        <v>0.7339691750802004</v>
      </c>
      <c r="P58" s="3">
        <f t="shared" si="7"/>
        <v>-0.1343221790126526</v>
      </c>
      <c r="S58">
        <f>COUNT(L38:L66)</f>
        <v>29</v>
      </c>
    </row>
    <row r="59" spans="1:19" ht="12.75">
      <c r="A59" s="46">
        <v>207</v>
      </c>
      <c r="B59" s="3">
        <v>2.04</v>
      </c>
      <c r="C59">
        <v>293</v>
      </c>
      <c r="D59" s="5">
        <f t="shared" si="8"/>
        <v>17.58</v>
      </c>
      <c r="E59" s="3">
        <v>0.72</v>
      </c>
      <c r="F59" s="3">
        <f t="shared" si="5"/>
        <v>-0.14266750356873154</v>
      </c>
      <c r="I59" s="48" t="s">
        <v>598</v>
      </c>
      <c r="K59" s="46">
        <v>207</v>
      </c>
      <c r="L59" s="3">
        <v>2.04</v>
      </c>
      <c r="M59">
        <v>293</v>
      </c>
      <c r="N59" s="5">
        <f t="shared" si="9"/>
        <v>17.58</v>
      </c>
      <c r="O59" s="3">
        <f t="shared" si="6"/>
        <v>1.2729656758128873</v>
      </c>
      <c r="P59" s="3">
        <f t="shared" si="7"/>
        <v>0.10481669351537554</v>
      </c>
      <c r="S59" s="48" t="s">
        <v>598</v>
      </c>
    </row>
    <row r="60" spans="1:19" ht="12.75">
      <c r="A60" s="46">
        <v>208</v>
      </c>
      <c r="B60" s="3">
        <v>2.07</v>
      </c>
      <c r="C60">
        <v>334</v>
      </c>
      <c r="D60" s="5">
        <f t="shared" si="8"/>
        <v>20.040000000000003</v>
      </c>
      <c r="E60" s="3">
        <v>0.44</v>
      </c>
      <c r="F60" s="3">
        <f t="shared" si="5"/>
        <v>-0.3565473235138126</v>
      </c>
      <c r="I60" s="3">
        <f>AVERAGE(E38:E66)</f>
        <v>0.4917241379310344</v>
      </c>
      <c r="K60" s="46">
        <v>208</v>
      </c>
      <c r="L60" s="3">
        <v>2.07</v>
      </c>
      <c r="M60">
        <v>334</v>
      </c>
      <c r="N60" s="5">
        <f t="shared" si="9"/>
        <v>20.040000000000003</v>
      </c>
      <c r="O60" s="3">
        <f t="shared" si="6"/>
        <v>0.579818495252942</v>
      </c>
      <c r="P60" s="3">
        <f t="shared" si="7"/>
        <v>-0.2367079354829482</v>
      </c>
      <c r="S60" s="3">
        <f>AVERAGE(O38:O66)</f>
        <v>0.6998603568079836</v>
      </c>
    </row>
    <row r="61" spans="1:19" ht="12.75">
      <c r="A61" s="46">
        <v>202</v>
      </c>
      <c r="B61" s="3">
        <v>2.02</v>
      </c>
      <c r="C61">
        <v>212</v>
      </c>
      <c r="D61" s="5">
        <f t="shared" si="8"/>
        <v>12.719999999999999</v>
      </c>
      <c r="E61" s="3">
        <v>0.45</v>
      </c>
      <c r="F61" s="3">
        <f t="shared" si="5"/>
        <v>-0.3467874862246563</v>
      </c>
      <c r="I61" s="47" t="s">
        <v>431</v>
      </c>
      <c r="K61" s="46">
        <v>202</v>
      </c>
      <c r="L61" s="3">
        <v>2.02</v>
      </c>
      <c r="M61">
        <v>212</v>
      </c>
      <c r="N61" s="5">
        <f t="shared" si="9"/>
        <v>12.719999999999999</v>
      </c>
      <c r="O61" s="3">
        <f t="shared" si="6"/>
        <v>0.5978370007556204</v>
      </c>
      <c r="P61" s="3">
        <f t="shared" si="7"/>
        <v>-0.2234172095263945</v>
      </c>
      <c r="S61" s="47" t="s">
        <v>431</v>
      </c>
    </row>
    <row r="62" spans="1:19" ht="12.75">
      <c r="A62" s="46">
        <v>203</v>
      </c>
      <c r="B62" s="3">
        <v>2.02</v>
      </c>
      <c r="C62">
        <v>323</v>
      </c>
      <c r="D62" s="5">
        <f t="shared" si="8"/>
        <v>19.38</v>
      </c>
      <c r="E62" s="3">
        <v>0.26</v>
      </c>
      <c r="F62" s="3">
        <f t="shared" si="5"/>
        <v>-0.585026652029182</v>
      </c>
      <c r="I62" s="3">
        <f>STDEV(E38:E66)</f>
        <v>0.1055620658839843</v>
      </c>
      <c r="K62" s="46">
        <v>203</v>
      </c>
      <c r="L62" s="3">
        <v>2.02</v>
      </c>
      <c r="M62">
        <v>323</v>
      </c>
      <c r="N62" s="5">
        <f t="shared" si="9"/>
        <v>19.38</v>
      </c>
      <c r="O62" s="3">
        <f t="shared" si="6"/>
        <v>0.30110509278392167</v>
      </c>
      <c r="P62" s="3">
        <f t="shared" si="7"/>
        <v>-0.5212818989234742</v>
      </c>
      <c r="S62" s="3">
        <f>STDEV(O38:O66)</f>
        <v>0.22603540914933534</v>
      </c>
    </row>
    <row r="63" spans="1:19" ht="12.75">
      <c r="A63" s="46">
        <v>209</v>
      </c>
      <c r="B63" s="3">
        <v>2.02</v>
      </c>
      <c r="C63">
        <v>194</v>
      </c>
      <c r="D63" s="5">
        <f t="shared" si="8"/>
        <v>11.64</v>
      </c>
      <c r="E63" s="3">
        <v>0.36</v>
      </c>
      <c r="F63" s="3">
        <f t="shared" si="5"/>
        <v>-0.44369749923271273</v>
      </c>
      <c r="I63" t="s">
        <v>126</v>
      </c>
      <c r="K63" s="46">
        <v>209</v>
      </c>
      <c r="L63" s="3">
        <v>2.02</v>
      </c>
      <c r="M63">
        <v>194</v>
      </c>
      <c r="N63" s="5">
        <f t="shared" si="9"/>
        <v>11.64</v>
      </c>
      <c r="O63" s="3">
        <f t="shared" si="6"/>
        <v>0.44628710262841953</v>
      </c>
      <c r="P63" s="3">
        <f t="shared" si="7"/>
        <v>-0.350385663771713</v>
      </c>
      <c r="S63" t="s">
        <v>126</v>
      </c>
    </row>
    <row r="64" spans="1:19" ht="12.75">
      <c r="A64" s="46">
        <v>210</v>
      </c>
      <c r="B64" s="3">
        <v>2.04</v>
      </c>
      <c r="C64">
        <v>488</v>
      </c>
      <c r="D64" s="5">
        <f>C64/1000*60</f>
        <v>29.28</v>
      </c>
      <c r="E64" s="3">
        <v>0.52</v>
      </c>
      <c r="F64" s="3">
        <f>LOG10(E64)</f>
        <v>-0.2839966563652008</v>
      </c>
      <c r="I64" s="3">
        <f>EXP(SQRT(LN(POWER(I62,2)/POWER(I60,2)+1)))</f>
        <v>1.236474122584149</v>
      </c>
      <c r="K64" s="46">
        <v>210</v>
      </c>
      <c r="L64" s="3">
        <v>2.04</v>
      </c>
      <c r="M64">
        <v>488</v>
      </c>
      <c r="N64" s="5">
        <f>M64/1000*60</f>
        <v>29.28</v>
      </c>
      <c r="O64" s="3">
        <f t="shared" si="6"/>
        <v>0.7339691750802004</v>
      </c>
      <c r="P64" s="3">
        <f>LOG10(O64)</f>
        <v>-0.1343221790126526</v>
      </c>
      <c r="S64" s="3">
        <f>EXP(SQRT(LN(POWER(S62,2)/POWER(S60,2)+1)))</f>
        <v>1.3702519681353706</v>
      </c>
    </row>
    <row r="65" spans="1:20" ht="12.75">
      <c r="A65" s="46">
        <v>211</v>
      </c>
      <c r="B65" s="3">
        <v>2.23</v>
      </c>
      <c r="C65">
        <v>408</v>
      </c>
      <c r="D65" s="5">
        <f>C65/1000*60</f>
        <v>24.479999999999997</v>
      </c>
      <c r="E65" s="3">
        <v>0.41</v>
      </c>
      <c r="F65" s="3">
        <f>LOG10(E65)</f>
        <v>-0.38721614328026455</v>
      </c>
      <c r="H65" t="s">
        <v>384</v>
      </c>
      <c r="I65" t="s">
        <v>384</v>
      </c>
      <c r="J65" s="85" t="s">
        <v>323</v>
      </c>
      <c r="K65" s="46">
        <v>211</v>
      </c>
      <c r="L65" s="3">
        <v>2.23</v>
      </c>
      <c r="M65">
        <v>408</v>
      </c>
      <c r="N65" s="5">
        <f>M65/1000*60</f>
        <v>24.479999999999997</v>
      </c>
      <c r="O65" s="3">
        <f t="shared" si="6"/>
        <v>0.5276327420823718</v>
      </c>
      <c r="P65" s="3">
        <f>LOG10(O65)</f>
        <v>-0.27766826228319447</v>
      </c>
      <c r="R65" t="s">
        <v>384</v>
      </c>
      <c r="S65" t="s">
        <v>384</v>
      </c>
      <c r="T65" s="85" t="s">
        <v>323</v>
      </c>
    </row>
    <row r="66" spans="1:20" ht="12.75">
      <c r="A66" s="46">
        <v>212</v>
      </c>
      <c r="B66" s="3">
        <v>2.17</v>
      </c>
      <c r="C66">
        <v>301</v>
      </c>
      <c r="D66" s="5">
        <f>C66/1000*60</f>
        <v>18.06</v>
      </c>
      <c r="E66" s="3">
        <v>0.44</v>
      </c>
      <c r="F66" s="3">
        <f>LOG10(E66)</f>
        <v>-0.3565473235138126</v>
      </c>
      <c r="H66" s="94">
        <f>STDEV(F38:F66)</f>
        <v>0.09638266410824811</v>
      </c>
      <c r="I66" s="40">
        <f>LOG10(I64)</f>
        <v>0.09218503170701262</v>
      </c>
      <c r="J66" s="86">
        <f>H66/I66</f>
        <v>1.0455348587889695</v>
      </c>
      <c r="K66" s="46">
        <v>212</v>
      </c>
      <c r="L66" s="3">
        <v>2.17</v>
      </c>
      <c r="M66">
        <v>301</v>
      </c>
      <c r="N66" s="5">
        <f>M66/1000*60</f>
        <v>18.06</v>
      </c>
      <c r="O66" s="3">
        <f t="shared" si="6"/>
        <v>0.579818495252942</v>
      </c>
      <c r="P66" s="3">
        <f>LOG10(O66)</f>
        <v>-0.2367079354829482</v>
      </c>
      <c r="R66" s="178">
        <f>STDEV(P38:P66)</f>
        <v>0.1378868395719366</v>
      </c>
      <c r="S66" s="40">
        <f>LOG10(S64)</f>
        <v>0.13680043453531046</v>
      </c>
      <c r="T66" s="86">
        <f>R66/S66</f>
        <v>1.0079415320595762</v>
      </c>
    </row>
    <row r="67" spans="2:15" ht="12.75">
      <c r="B67" s="47" t="s">
        <v>598</v>
      </c>
      <c r="D67" s="47" t="s">
        <v>598</v>
      </c>
      <c r="E67" s="48" t="s">
        <v>598</v>
      </c>
      <c r="L67" s="47" t="s">
        <v>598</v>
      </c>
      <c r="N67" s="47" t="s">
        <v>598</v>
      </c>
      <c r="O67" s="48" t="s">
        <v>598</v>
      </c>
    </row>
    <row r="68" spans="2:15" ht="12.75">
      <c r="B68" s="3">
        <f>AVERAGE(B38:B66)</f>
        <v>2.1941379310344833</v>
      </c>
      <c r="D68" s="5">
        <f>AVERAGE(D38:D66)</f>
        <v>18.577448275862064</v>
      </c>
      <c r="E68" s="3">
        <f>AVERAGE(E38:E66)</f>
        <v>0.4917241379310344</v>
      </c>
      <c r="L68" s="3">
        <f>AVERAGE(L38:L66)</f>
        <v>2.1941379310344833</v>
      </c>
      <c r="N68" s="5">
        <f>AVERAGE(N38:N66)</f>
        <v>18.577448275862064</v>
      </c>
      <c r="O68" s="3">
        <f>AVERAGE(O38:O66)</f>
        <v>0.6998603568079836</v>
      </c>
    </row>
    <row r="70" spans="1:16" ht="12.75">
      <c r="A70" t="s">
        <v>127</v>
      </c>
      <c r="B70" t="s">
        <v>222</v>
      </c>
      <c r="C70" t="s">
        <v>223</v>
      </c>
      <c r="D70" t="s">
        <v>224</v>
      </c>
      <c r="E70" t="s">
        <v>132</v>
      </c>
      <c r="F70" t="s">
        <v>225</v>
      </c>
      <c r="K70" t="s">
        <v>127</v>
      </c>
      <c r="L70" t="s">
        <v>222</v>
      </c>
      <c r="M70" t="s">
        <v>223</v>
      </c>
      <c r="N70" t="s">
        <v>224</v>
      </c>
      <c r="O70" t="s">
        <v>132</v>
      </c>
      <c r="P70" t="s">
        <v>225</v>
      </c>
    </row>
    <row r="71" spans="1:16" ht="12.75">
      <c r="A71" s="46">
        <v>1</v>
      </c>
      <c r="B71" s="3"/>
      <c r="D71" s="5"/>
      <c r="E71" s="3"/>
      <c r="F71" s="3"/>
      <c r="K71" s="46">
        <v>1</v>
      </c>
      <c r="L71" s="3"/>
      <c r="N71" s="5"/>
      <c r="O71" s="3"/>
      <c r="P71" s="3"/>
    </row>
    <row r="72" spans="1:16" ht="12.75">
      <c r="A72" s="46">
        <v>2</v>
      </c>
      <c r="B72" s="3"/>
      <c r="D72" s="5"/>
      <c r="E72" s="3"/>
      <c r="F72" s="3"/>
      <c r="K72" s="46">
        <v>2</v>
      </c>
      <c r="L72" s="3"/>
      <c r="N72" s="5"/>
      <c r="O72" s="3"/>
      <c r="P72" s="3"/>
    </row>
    <row r="73" spans="1:16" ht="12.75">
      <c r="A73" s="46">
        <v>3</v>
      </c>
      <c r="B73" s="3"/>
      <c r="D73" s="5"/>
      <c r="E73" s="3"/>
      <c r="F73" s="3"/>
      <c r="K73" s="46">
        <v>3</v>
      </c>
      <c r="L73" s="3"/>
      <c r="N73" s="5"/>
      <c r="O73" s="3"/>
      <c r="P73" s="3"/>
    </row>
    <row r="74" spans="1:16" ht="12.75">
      <c r="A74" s="46">
        <v>4</v>
      </c>
      <c r="B74" s="3"/>
      <c r="D74" s="5"/>
      <c r="E74" s="3"/>
      <c r="F74" s="3"/>
      <c r="K74" s="46">
        <v>4</v>
      </c>
      <c r="L74" s="3"/>
      <c r="N74" s="5"/>
      <c r="O74" s="3"/>
      <c r="P74" s="3"/>
    </row>
    <row r="75" spans="1:16" ht="12.75">
      <c r="A75" s="46">
        <v>5</v>
      </c>
      <c r="B75" s="3"/>
      <c r="D75" s="5"/>
      <c r="E75" s="3"/>
      <c r="F75" s="3"/>
      <c r="K75" s="46">
        <v>5</v>
      </c>
      <c r="L75" s="3"/>
      <c r="N75" s="5"/>
      <c r="O75" s="3"/>
      <c r="P75" s="3"/>
    </row>
    <row r="76" spans="1:16" ht="12.75">
      <c r="A76" s="46">
        <v>6</v>
      </c>
      <c r="B76" s="3"/>
      <c r="D76" s="5"/>
      <c r="E76" s="3"/>
      <c r="F76" s="3"/>
      <c r="K76" s="46">
        <v>6</v>
      </c>
      <c r="L76" s="3"/>
      <c r="N76" s="5"/>
      <c r="O76" s="3"/>
      <c r="P76" s="3"/>
    </row>
    <row r="77" spans="1:16" ht="12.75">
      <c r="A77" s="46">
        <v>7</v>
      </c>
      <c r="B77" s="3"/>
      <c r="D77" s="5"/>
      <c r="E77" s="3"/>
      <c r="F77" s="3"/>
      <c r="K77" s="46">
        <v>7</v>
      </c>
      <c r="L77" s="3"/>
      <c r="N77" s="5"/>
      <c r="O77" s="3"/>
      <c r="P77" s="3"/>
    </row>
    <row r="78" spans="1:16" ht="12.75">
      <c r="A78" s="46">
        <v>8</v>
      </c>
      <c r="B78" s="3"/>
      <c r="D78" s="5"/>
      <c r="E78" s="3"/>
      <c r="F78" s="3"/>
      <c r="K78" s="46">
        <v>8</v>
      </c>
      <c r="L78" s="3"/>
      <c r="N78" s="5"/>
      <c r="O78" s="3"/>
      <c r="P78" s="3"/>
    </row>
    <row r="79" spans="1:16" ht="12.75">
      <c r="A79" s="46">
        <v>9</v>
      </c>
      <c r="B79" s="3"/>
      <c r="D79" s="5"/>
      <c r="E79" s="3"/>
      <c r="F79" s="3"/>
      <c r="K79" s="46">
        <v>9</v>
      </c>
      <c r="L79" s="3"/>
      <c r="N79" s="5"/>
      <c r="O79" s="3"/>
      <c r="P79" s="3"/>
    </row>
    <row r="80" spans="1:16" ht="12.75">
      <c r="A80" s="46">
        <v>10</v>
      </c>
      <c r="B80" s="3"/>
      <c r="D80" s="5"/>
      <c r="E80" s="3"/>
      <c r="F80" s="3"/>
      <c r="K80" s="46">
        <v>10</v>
      </c>
      <c r="L80" s="3"/>
      <c r="N80" s="5"/>
      <c r="O80" s="3"/>
      <c r="P80" s="3"/>
    </row>
    <row r="81" spans="1:16" ht="12.75">
      <c r="A81" s="46">
        <v>11</v>
      </c>
      <c r="B81" s="3"/>
      <c r="D81" s="5"/>
      <c r="E81" s="3"/>
      <c r="F81" s="3"/>
      <c r="K81" s="46">
        <v>11</v>
      </c>
      <c r="L81" s="3"/>
      <c r="N81" s="5"/>
      <c r="O81" s="3"/>
      <c r="P81" s="3"/>
    </row>
    <row r="82" spans="1:16" ht="12.75">
      <c r="A82" s="46">
        <v>12</v>
      </c>
      <c r="B82" s="3"/>
      <c r="D82" s="5"/>
      <c r="E82" s="3"/>
      <c r="F82" s="3"/>
      <c r="K82" s="46">
        <v>12</v>
      </c>
      <c r="L82" s="3"/>
      <c r="N82" s="5"/>
      <c r="O82" s="3"/>
      <c r="P82" s="3"/>
    </row>
    <row r="83" spans="1:16" ht="12.75">
      <c r="A83" s="46">
        <v>13</v>
      </c>
      <c r="B83" s="3"/>
      <c r="D83" s="5"/>
      <c r="E83" s="3"/>
      <c r="F83" s="3"/>
      <c r="K83" s="46">
        <v>13</v>
      </c>
      <c r="L83" s="3"/>
      <c r="N83" s="5"/>
      <c r="O83" s="3"/>
      <c r="P83" s="3"/>
    </row>
    <row r="84" spans="1:16" ht="12.75">
      <c r="A84" s="46">
        <v>14</v>
      </c>
      <c r="B84" s="3"/>
      <c r="D84" s="5"/>
      <c r="E84" s="3"/>
      <c r="F84" s="3"/>
      <c r="K84" s="46">
        <v>14</v>
      </c>
      <c r="L84" s="3"/>
      <c r="N84" s="5"/>
      <c r="O84" s="3"/>
      <c r="P84" s="3"/>
    </row>
    <row r="85" spans="1:16" ht="12.75">
      <c r="A85" s="46">
        <v>15</v>
      </c>
      <c r="B85" s="3"/>
      <c r="D85" s="5"/>
      <c r="E85" s="3"/>
      <c r="F85" s="3"/>
      <c r="K85" s="46">
        <v>15</v>
      </c>
      <c r="L85" s="3"/>
      <c r="N85" s="5"/>
      <c r="O85" s="3"/>
      <c r="P85" s="3"/>
    </row>
    <row r="86" spans="1:16" ht="12.75">
      <c r="A86" s="46">
        <v>16</v>
      </c>
      <c r="B86" s="3"/>
      <c r="D86" s="5"/>
      <c r="E86" s="3"/>
      <c r="F86" s="3"/>
      <c r="K86" s="46">
        <v>16</v>
      </c>
      <c r="L86" s="3"/>
      <c r="N86" s="5"/>
      <c r="O86" s="3"/>
      <c r="P86" s="3"/>
    </row>
    <row r="87" spans="1:16" ht="12.75">
      <c r="A87" s="46">
        <v>17</v>
      </c>
      <c r="B87" s="3">
        <v>2.78</v>
      </c>
      <c r="C87">
        <v>359</v>
      </c>
      <c r="D87" s="5">
        <f>C87/1000*60</f>
        <v>21.54</v>
      </c>
      <c r="E87" s="3">
        <v>0.54</v>
      </c>
      <c r="F87" s="3">
        <f>LOG10(E87)</f>
        <v>-0.2676062401770315</v>
      </c>
      <c r="K87" s="46">
        <v>17</v>
      </c>
      <c r="L87" s="3">
        <v>2.78</v>
      </c>
      <c r="M87">
        <v>359</v>
      </c>
      <c r="N87" s="5">
        <f>M87/1000*60</f>
        <v>21.54</v>
      </c>
      <c r="O87" s="3">
        <f aca="true" t="shared" si="10" ref="O87:O98">-LN(1-E87)</f>
        <v>0.7765287894989965</v>
      </c>
      <c r="P87" s="3">
        <f>LOG10(O87)</f>
        <v>-0.1098424383400924</v>
      </c>
    </row>
    <row r="88" spans="1:16" ht="12.75">
      <c r="A88" s="46">
        <v>201</v>
      </c>
      <c r="B88" s="3">
        <v>3.21</v>
      </c>
      <c r="C88">
        <v>230</v>
      </c>
      <c r="D88" s="5">
        <f aca="true" t="shared" si="11" ref="D88:D98">C88/1000*60</f>
        <v>13.8</v>
      </c>
      <c r="E88" s="3">
        <v>0.51</v>
      </c>
      <c r="F88" s="3">
        <f aca="true" t="shared" si="12" ref="F88:F98">LOG10(E88)</f>
        <v>-0.2924298239020636</v>
      </c>
      <c r="K88" s="46">
        <v>201</v>
      </c>
      <c r="L88" s="3">
        <v>3.21</v>
      </c>
      <c r="M88">
        <v>230</v>
      </c>
      <c r="N88" s="5">
        <f aca="true" t="shared" si="13" ref="N88:N98">M88/1000*60</f>
        <v>13.8</v>
      </c>
      <c r="O88" s="3">
        <f t="shared" si="10"/>
        <v>0.7133498878774648</v>
      </c>
      <c r="P88" s="3">
        <f aca="true" t="shared" si="14" ref="P88:P98">LOG10(O88)</f>
        <v>-0.1466974026829814</v>
      </c>
    </row>
    <row r="89" spans="1:16" ht="12.75">
      <c r="A89" s="46">
        <v>204</v>
      </c>
      <c r="B89" s="3">
        <v>3.26</v>
      </c>
      <c r="C89">
        <v>350</v>
      </c>
      <c r="D89" s="5">
        <f t="shared" si="11"/>
        <v>21</v>
      </c>
      <c r="E89" s="3">
        <v>0.79</v>
      </c>
      <c r="F89" s="3">
        <f t="shared" si="12"/>
        <v>-0.10237290870955855</v>
      </c>
      <c r="K89" s="46">
        <v>204</v>
      </c>
      <c r="L89" s="3">
        <v>3.26</v>
      </c>
      <c r="M89">
        <v>350</v>
      </c>
      <c r="N89" s="5">
        <f t="shared" si="13"/>
        <v>21</v>
      </c>
      <c r="O89" s="3">
        <f t="shared" si="10"/>
        <v>1.5606477482646686</v>
      </c>
      <c r="P89" s="3">
        <f t="shared" si="14"/>
        <v>0.19330489009113996</v>
      </c>
    </row>
    <row r="90" spans="1:19" ht="12.75">
      <c r="A90" s="46">
        <v>205</v>
      </c>
      <c r="B90" s="3">
        <v>3.24</v>
      </c>
      <c r="C90">
        <v>290</v>
      </c>
      <c r="D90" s="5">
        <f t="shared" si="11"/>
        <v>17.4</v>
      </c>
      <c r="E90" s="3">
        <v>0.55</v>
      </c>
      <c r="F90" s="3">
        <f t="shared" si="12"/>
        <v>-0.2596373105057561</v>
      </c>
      <c r="I90" s="47" t="s">
        <v>519</v>
      </c>
      <c r="K90" s="46">
        <v>205</v>
      </c>
      <c r="L90" s="3">
        <v>3.24</v>
      </c>
      <c r="M90">
        <v>290</v>
      </c>
      <c r="N90" s="5">
        <f t="shared" si="13"/>
        <v>17.4</v>
      </c>
      <c r="O90" s="3">
        <f t="shared" si="10"/>
        <v>0.7985076962177717</v>
      </c>
      <c r="P90" s="3">
        <f t="shared" si="14"/>
        <v>-0.09772089366600901</v>
      </c>
      <c r="S90" s="47" t="s">
        <v>519</v>
      </c>
    </row>
    <row r="91" spans="1:19" ht="12.75">
      <c r="A91" s="46">
        <v>206</v>
      </c>
      <c r="B91" s="3">
        <v>3.24</v>
      </c>
      <c r="C91">
        <v>225</v>
      </c>
      <c r="D91" s="5">
        <f t="shared" si="11"/>
        <v>13.5</v>
      </c>
      <c r="E91" s="3">
        <v>0.7</v>
      </c>
      <c r="F91" s="3">
        <f t="shared" si="12"/>
        <v>-0.15490195998574316</v>
      </c>
      <c r="I91">
        <f>COUNT(B71:B99)</f>
        <v>12</v>
      </c>
      <c r="K91" s="46">
        <v>206</v>
      </c>
      <c r="L91" s="3">
        <v>3.24</v>
      </c>
      <c r="M91">
        <v>225</v>
      </c>
      <c r="N91" s="5">
        <f t="shared" si="13"/>
        <v>13.5</v>
      </c>
      <c r="O91" s="3">
        <f t="shared" si="10"/>
        <v>1.203972804325936</v>
      </c>
      <c r="P91" s="3">
        <f t="shared" si="14"/>
        <v>0.08061667706751091</v>
      </c>
      <c r="S91">
        <f>COUNT(L71:L99)</f>
        <v>12</v>
      </c>
    </row>
    <row r="92" spans="1:19" ht="12.75">
      <c r="A92" s="46">
        <v>207</v>
      </c>
      <c r="B92" s="3">
        <v>3.18</v>
      </c>
      <c r="C92">
        <v>281</v>
      </c>
      <c r="D92" s="5">
        <f t="shared" si="11"/>
        <v>16.860000000000003</v>
      </c>
      <c r="E92" s="3">
        <v>0.91</v>
      </c>
      <c r="F92" s="3">
        <f t="shared" si="12"/>
        <v>-0.04095860767890638</v>
      </c>
      <c r="I92" s="48" t="s">
        <v>598</v>
      </c>
      <c r="K92" s="46">
        <v>207</v>
      </c>
      <c r="L92" s="3">
        <v>3.18</v>
      </c>
      <c r="M92">
        <v>281</v>
      </c>
      <c r="N92" s="5">
        <f t="shared" si="13"/>
        <v>16.860000000000003</v>
      </c>
      <c r="O92" s="3">
        <f t="shared" si="10"/>
        <v>2.4079456086518722</v>
      </c>
      <c r="P92" s="3">
        <f t="shared" si="14"/>
        <v>0.38164667273149216</v>
      </c>
      <c r="S92" s="48" t="s">
        <v>598</v>
      </c>
    </row>
    <row r="93" spans="1:19" ht="12.75">
      <c r="A93" s="46">
        <v>208</v>
      </c>
      <c r="B93" s="3">
        <v>3.18</v>
      </c>
      <c r="C93">
        <v>327</v>
      </c>
      <c r="D93" s="5">
        <f t="shared" si="11"/>
        <v>19.62</v>
      </c>
      <c r="E93" s="3">
        <v>0.76</v>
      </c>
      <c r="F93" s="3">
        <f t="shared" si="12"/>
        <v>-0.11918640771920863</v>
      </c>
      <c r="I93" s="3">
        <f>AVERAGE(E71:E99)</f>
        <v>0.6333333333333333</v>
      </c>
      <c r="K93" s="46">
        <v>208</v>
      </c>
      <c r="L93" s="3">
        <v>3.18</v>
      </c>
      <c r="M93">
        <v>327</v>
      </c>
      <c r="N93" s="5">
        <f t="shared" si="13"/>
        <v>19.62</v>
      </c>
      <c r="O93" s="3">
        <f t="shared" si="10"/>
        <v>1.4271163556401458</v>
      </c>
      <c r="P93" s="3">
        <f t="shared" si="14"/>
        <v>0.15445938345268856</v>
      </c>
      <c r="S93" s="3">
        <f>AVERAGE(O71:O99)</f>
        <v>1.094507586096585</v>
      </c>
    </row>
    <row r="94" spans="1:19" ht="12.75">
      <c r="A94" s="46">
        <v>202</v>
      </c>
      <c r="B94" s="3">
        <v>3.24</v>
      </c>
      <c r="C94">
        <v>244</v>
      </c>
      <c r="D94" s="5">
        <f t="shared" si="11"/>
        <v>14.64</v>
      </c>
      <c r="E94" s="3">
        <v>0.54</v>
      </c>
      <c r="F94" s="3">
        <f t="shared" si="12"/>
        <v>-0.2676062401770315</v>
      </c>
      <c r="I94" s="47" t="s">
        <v>431</v>
      </c>
      <c r="K94" s="46">
        <v>202</v>
      </c>
      <c r="L94" s="3">
        <v>3.24</v>
      </c>
      <c r="M94">
        <v>244</v>
      </c>
      <c r="N94" s="5">
        <f t="shared" si="13"/>
        <v>14.64</v>
      </c>
      <c r="O94" s="3">
        <f t="shared" si="10"/>
        <v>0.7765287894989965</v>
      </c>
      <c r="P94" s="3">
        <f t="shared" si="14"/>
        <v>-0.1098424383400924</v>
      </c>
      <c r="S94" s="47" t="s">
        <v>431</v>
      </c>
    </row>
    <row r="95" spans="1:19" ht="12.75">
      <c r="A95" s="46">
        <v>203</v>
      </c>
      <c r="B95" s="3">
        <v>3.19</v>
      </c>
      <c r="C95">
        <v>336</v>
      </c>
      <c r="D95" s="5">
        <f t="shared" si="11"/>
        <v>20.16</v>
      </c>
      <c r="E95" s="3">
        <v>0.54</v>
      </c>
      <c r="F95" s="3">
        <f t="shared" si="12"/>
        <v>-0.2676062401770315</v>
      </c>
      <c r="I95" s="3">
        <f>STDEV(E71:E99)</f>
        <v>0.1313104117822504</v>
      </c>
      <c r="K95" s="46">
        <v>203</v>
      </c>
      <c r="L95" s="3">
        <v>3.19</v>
      </c>
      <c r="M95">
        <v>336</v>
      </c>
      <c r="N95" s="5">
        <f t="shared" si="13"/>
        <v>20.16</v>
      </c>
      <c r="O95" s="3">
        <f t="shared" si="10"/>
        <v>0.7765287894989965</v>
      </c>
      <c r="P95" s="3">
        <f t="shared" si="14"/>
        <v>-0.1098424383400924</v>
      </c>
      <c r="S95" s="3">
        <f>STDEV(O71:O99)</f>
        <v>0.5050769876343624</v>
      </c>
    </row>
    <row r="96" spans="1:19" ht="12.75">
      <c r="A96" s="46">
        <v>209</v>
      </c>
      <c r="B96" s="3">
        <v>3.19</v>
      </c>
      <c r="C96">
        <v>181</v>
      </c>
      <c r="D96" s="5">
        <f t="shared" si="11"/>
        <v>10.86</v>
      </c>
      <c r="E96" s="3">
        <v>0.55</v>
      </c>
      <c r="F96" s="3">
        <f t="shared" si="12"/>
        <v>-0.2596373105057561</v>
      </c>
      <c r="I96" t="s">
        <v>126</v>
      </c>
      <c r="K96" s="46">
        <v>209</v>
      </c>
      <c r="L96" s="3">
        <v>3.19</v>
      </c>
      <c r="M96">
        <v>181</v>
      </c>
      <c r="N96" s="5">
        <f t="shared" si="13"/>
        <v>10.86</v>
      </c>
      <c r="O96" s="3">
        <f t="shared" si="10"/>
        <v>0.7985076962177717</v>
      </c>
      <c r="P96" s="3">
        <f t="shared" si="14"/>
        <v>-0.09772089366600901</v>
      </c>
      <c r="S96" t="s">
        <v>126</v>
      </c>
    </row>
    <row r="97" spans="1:19" ht="12.75">
      <c r="A97" s="46">
        <v>210</v>
      </c>
      <c r="B97" s="3">
        <v>3.24</v>
      </c>
      <c r="C97">
        <v>356</v>
      </c>
      <c r="D97" s="5">
        <f t="shared" si="11"/>
        <v>21.36</v>
      </c>
      <c r="E97" s="3">
        <v>0.68</v>
      </c>
      <c r="F97" s="3">
        <f t="shared" si="12"/>
        <v>-0.1674910872937637</v>
      </c>
      <c r="I97" s="3">
        <f>EXP(SQRT(LN(POWER(I95,2)/POWER(I93,2)+1)))</f>
        <v>1.2277147638122257</v>
      </c>
      <c r="K97" s="46">
        <v>210</v>
      </c>
      <c r="L97" s="3">
        <v>3.24</v>
      </c>
      <c r="M97">
        <v>356</v>
      </c>
      <c r="N97" s="5">
        <f t="shared" si="13"/>
        <v>21.36</v>
      </c>
      <c r="O97" s="3">
        <f t="shared" si="10"/>
        <v>1.139434283188365</v>
      </c>
      <c r="P97" s="3">
        <f t="shared" si="14"/>
        <v>0.056689282327557225</v>
      </c>
      <c r="S97" s="3">
        <f>EXP(SQRT(LN(POWER(S95,2)/POWER(S93,2)+1)))</f>
        <v>1.5517459175777828</v>
      </c>
    </row>
    <row r="98" spans="1:20" ht="12.75">
      <c r="A98" s="46">
        <v>211</v>
      </c>
      <c r="B98" s="3">
        <v>2.98</v>
      </c>
      <c r="C98">
        <v>443</v>
      </c>
      <c r="D98" s="5">
        <f t="shared" si="11"/>
        <v>26.580000000000002</v>
      </c>
      <c r="E98" s="3">
        <v>0.53</v>
      </c>
      <c r="F98" s="3">
        <f t="shared" si="12"/>
        <v>-0.27572413039921095</v>
      </c>
      <c r="H98" t="s">
        <v>384</v>
      </c>
      <c r="I98" t="s">
        <v>384</v>
      </c>
      <c r="J98" s="85" t="s">
        <v>323</v>
      </c>
      <c r="K98" s="46">
        <v>211</v>
      </c>
      <c r="L98" s="3">
        <v>2.98</v>
      </c>
      <c r="M98">
        <v>443</v>
      </c>
      <c r="N98" s="5">
        <f t="shared" si="13"/>
        <v>26.580000000000002</v>
      </c>
      <c r="O98" s="3">
        <f t="shared" si="10"/>
        <v>0.7550225842780328</v>
      </c>
      <c r="P98" s="3">
        <f t="shared" si="14"/>
        <v>-0.12204005753553515</v>
      </c>
      <c r="R98" t="s">
        <v>384</v>
      </c>
      <c r="S98" t="s">
        <v>384</v>
      </c>
      <c r="T98" s="85" t="s">
        <v>323</v>
      </c>
    </row>
    <row r="99" spans="1:20" ht="12.75">
      <c r="A99" s="46">
        <v>212</v>
      </c>
      <c r="B99" s="3"/>
      <c r="D99" s="5"/>
      <c r="E99" s="3"/>
      <c r="F99" s="3"/>
      <c r="H99" s="94">
        <f>STDEV(F71:F99)</f>
        <v>0.08478766383572642</v>
      </c>
      <c r="I99" s="40">
        <f>LOG10(I97)</f>
        <v>0.08909747845706215</v>
      </c>
      <c r="J99" s="86">
        <f>H99/I99</f>
        <v>0.9516280965974507</v>
      </c>
      <c r="K99" s="46">
        <v>212</v>
      </c>
      <c r="L99" s="3"/>
      <c r="N99" s="5"/>
      <c r="O99" s="3"/>
      <c r="P99" s="3"/>
      <c r="R99" s="178">
        <f>STDEV(P71:P99)</f>
        <v>0.16729286028946802</v>
      </c>
      <c r="S99" s="40">
        <f>LOG10(S97)</f>
        <v>0.19082061149208973</v>
      </c>
      <c r="T99" s="86">
        <f>R99/S99</f>
        <v>0.8767022544438443</v>
      </c>
    </row>
    <row r="100" spans="2:15" ht="12.75">
      <c r="B100" s="47" t="s">
        <v>598</v>
      </c>
      <c r="D100" s="47" t="s">
        <v>598</v>
      </c>
      <c r="E100" s="48" t="s">
        <v>598</v>
      </c>
      <c r="L100" s="47" t="s">
        <v>598</v>
      </c>
      <c r="N100" s="47" t="s">
        <v>598</v>
      </c>
      <c r="O100" s="48" t="s">
        <v>598</v>
      </c>
    </row>
    <row r="101" spans="2:15" ht="12.75">
      <c r="B101" s="3">
        <f>AVERAGE(B71:B99)</f>
        <v>3.160833333333333</v>
      </c>
      <c r="D101" s="5">
        <f>AVERAGE(D71:D99)</f>
        <v>18.110000000000003</v>
      </c>
      <c r="E101" s="3">
        <f>AVERAGE(E71:E99)</f>
        <v>0.6333333333333333</v>
      </c>
      <c r="L101" s="3">
        <f>AVERAGE(L71:L99)</f>
        <v>3.160833333333333</v>
      </c>
      <c r="N101" s="5">
        <f>AVERAGE(N71:N99)</f>
        <v>18.110000000000003</v>
      </c>
      <c r="O101" s="3">
        <f>AVERAGE(O71:O99)</f>
        <v>1.094507586096585</v>
      </c>
    </row>
    <row r="102" spans="2:15" ht="12.75">
      <c r="B102" s="3"/>
      <c r="D102" s="5"/>
      <c r="E102" s="3"/>
      <c r="L102" s="3"/>
      <c r="N102" s="5"/>
      <c r="O102" s="3"/>
    </row>
    <row r="103" spans="2:15" ht="12.75">
      <c r="B103" s="3"/>
      <c r="D103" s="5"/>
      <c r="E103" s="3"/>
      <c r="L103" s="3"/>
      <c r="N103" s="5"/>
      <c r="O103" s="3"/>
    </row>
    <row r="104" spans="1:15" ht="18.75">
      <c r="A104" s="53" t="s">
        <v>197</v>
      </c>
      <c r="B104" s="3"/>
      <c r="D104" s="5"/>
      <c r="E104" s="3"/>
      <c r="L104" s="3"/>
      <c r="N104" s="5"/>
      <c r="O104" s="3"/>
    </row>
    <row r="105" spans="2:15" ht="12.75">
      <c r="B105" s="3"/>
      <c r="D105" s="5"/>
      <c r="E105" s="3"/>
      <c r="L105" s="3"/>
      <c r="N105" s="5"/>
      <c r="O105" s="3"/>
    </row>
    <row r="107" spans="1:16" ht="12.75">
      <c r="A107" t="s">
        <v>127</v>
      </c>
      <c r="B107" t="s">
        <v>222</v>
      </c>
      <c r="C107" t="s">
        <v>223</v>
      </c>
      <c r="D107" t="s">
        <v>224</v>
      </c>
      <c r="E107" t="s">
        <v>132</v>
      </c>
      <c r="F107" t="s">
        <v>225</v>
      </c>
      <c r="K107" t="s">
        <v>127</v>
      </c>
      <c r="L107" t="s">
        <v>222</v>
      </c>
      <c r="M107" t="s">
        <v>223</v>
      </c>
      <c r="N107" t="s">
        <v>224</v>
      </c>
      <c r="O107" t="s">
        <v>132</v>
      </c>
      <c r="P107" t="s">
        <v>225</v>
      </c>
    </row>
    <row r="108" spans="1:16" ht="12.75">
      <c r="A108" s="46">
        <v>1</v>
      </c>
      <c r="B108" s="3">
        <v>1.06</v>
      </c>
      <c r="C108">
        <v>241</v>
      </c>
      <c r="D108" s="5">
        <f>(C108/1000)*60</f>
        <v>14.459999999999999</v>
      </c>
      <c r="E108" s="3">
        <v>0.13</v>
      </c>
      <c r="F108" s="3">
        <f>LOG10(E108)</f>
        <v>-0.8860566476931632</v>
      </c>
      <c r="K108" s="46">
        <v>1</v>
      </c>
      <c r="L108" s="3">
        <v>1.06</v>
      </c>
      <c r="M108">
        <v>241</v>
      </c>
      <c r="N108" s="5">
        <f>(M108/1000)*60</f>
        <v>14.459999999999999</v>
      </c>
      <c r="O108" s="3">
        <f aca="true" t="shared" si="15" ref="O108:O117">-LN(1-E108)</f>
        <v>0.13926206733350766</v>
      </c>
      <c r="P108" s="3">
        <f>LOG10(O108)</f>
        <v>-0.8561671620480555</v>
      </c>
    </row>
    <row r="109" spans="1:16" ht="12.75">
      <c r="A109" s="46">
        <v>2</v>
      </c>
      <c r="B109" s="3">
        <v>1.03</v>
      </c>
      <c r="C109">
        <v>257</v>
      </c>
      <c r="D109" s="5">
        <f>C109/1000*60</f>
        <v>15.42</v>
      </c>
      <c r="E109" s="3">
        <v>0.11</v>
      </c>
      <c r="F109" s="3">
        <f aca="true" t="shared" si="16" ref="F109:F130">LOG10(E109)</f>
        <v>-0.9586073148417749</v>
      </c>
      <c r="K109" s="46">
        <v>2</v>
      </c>
      <c r="L109" s="3">
        <v>1.03</v>
      </c>
      <c r="M109">
        <v>257</v>
      </c>
      <c r="N109" s="5">
        <f>M109/1000*60</f>
        <v>15.42</v>
      </c>
      <c r="O109" s="3">
        <f t="shared" si="15"/>
        <v>0.11653381625595151</v>
      </c>
      <c r="P109" s="3">
        <f aca="true" t="shared" si="17" ref="P109:P130">LOG10(O109)</f>
        <v>-0.9335480310130718</v>
      </c>
    </row>
    <row r="110" spans="1:16" ht="12.75">
      <c r="A110" s="46">
        <v>3</v>
      </c>
      <c r="B110" s="3">
        <v>1.1</v>
      </c>
      <c r="C110">
        <v>389</v>
      </c>
      <c r="D110" s="5">
        <f aca="true" t="shared" si="18" ref="D110:D130">C110/1000*60</f>
        <v>23.34</v>
      </c>
      <c r="E110" s="3">
        <v>0.14</v>
      </c>
      <c r="F110" s="3">
        <f t="shared" si="16"/>
        <v>-0.8538719643217619</v>
      </c>
      <c r="K110" s="46">
        <v>3</v>
      </c>
      <c r="L110" s="3">
        <v>1.1</v>
      </c>
      <c r="M110">
        <v>389</v>
      </c>
      <c r="N110" s="5">
        <f aca="true" t="shared" si="19" ref="N110:N130">M110/1000*60</f>
        <v>23.34</v>
      </c>
      <c r="O110" s="3">
        <f t="shared" si="15"/>
        <v>0.15082288973458366</v>
      </c>
      <c r="P110" s="3">
        <f t="shared" si="17"/>
        <v>-0.8215327424779075</v>
      </c>
    </row>
    <row r="111" spans="1:16" ht="12.75">
      <c r="A111" s="46">
        <v>4</v>
      </c>
      <c r="B111" s="3">
        <v>1.09</v>
      </c>
      <c r="C111">
        <v>306</v>
      </c>
      <c r="D111" s="5">
        <f t="shared" si="18"/>
        <v>18.36</v>
      </c>
      <c r="E111" s="3">
        <v>0.23</v>
      </c>
      <c r="F111" s="3">
        <f t="shared" si="16"/>
        <v>-0.6382721639824072</v>
      </c>
      <c r="K111" s="46">
        <v>4</v>
      </c>
      <c r="L111" s="3">
        <v>1.09</v>
      </c>
      <c r="M111">
        <v>306</v>
      </c>
      <c r="N111" s="5">
        <f t="shared" si="19"/>
        <v>18.36</v>
      </c>
      <c r="O111" s="3">
        <f t="shared" si="15"/>
        <v>0.2613647641344075</v>
      </c>
      <c r="P111" s="3">
        <f t="shared" si="17"/>
        <v>-0.5827529621780622</v>
      </c>
    </row>
    <row r="112" spans="1:16" ht="12.75">
      <c r="A112" s="46">
        <v>5</v>
      </c>
      <c r="B112" s="3">
        <v>1.1</v>
      </c>
      <c r="C112">
        <v>240</v>
      </c>
      <c r="D112" s="5">
        <f t="shared" si="18"/>
        <v>14.399999999999999</v>
      </c>
      <c r="E112" s="3">
        <v>0.18</v>
      </c>
      <c r="F112" s="3">
        <f t="shared" si="16"/>
        <v>-0.7447274948966939</v>
      </c>
      <c r="K112" s="46">
        <v>5</v>
      </c>
      <c r="L112" s="3">
        <v>1.1</v>
      </c>
      <c r="M112">
        <v>240</v>
      </c>
      <c r="N112" s="5">
        <f t="shared" si="19"/>
        <v>14.399999999999999</v>
      </c>
      <c r="O112" s="3">
        <f t="shared" si="15"/>
        <v>0.19845093872383818</v>
      </c>
      <c r="P112" s="3">
        <f t="shared" si="17"/>
        <v>-0.7023468424276733</v>
      </c>
    </row>
    <row r="113" spans="1:16" ht="12.75">
      <c r="A113" s="46">
        <v>6</v>
      </c>
      <c r="B113" s="3">
        <v>1.1</v>
      </c>
      <c r="C113">
        <v>242</v>
      </c>
      <c r="D113" s="5">
        <f t="shared" si="18"/>
        <v>14.52</v>
      </c>
      <c r="E113" s="3">
        <v>0.16</v>
      </c>
      <c r="F113" s="3">
        <f t="shared" si="16"/>
        <v>-0.7958800173440752</v>
      </c>
      <c r="K113" s="46">
        <v>6</v>
      </c>
      <c r="L113" s="3">
        <v>1.1</v>
      </c>
      <c r="M113">
        <v>242</v>
      </c>
      <c r="N113" s="5">
        <f t="shared" si="19"/>
        <v>14.52</v>
      </c>
      <c r="O113" s="3">
        <f t="shared" si="15"/>
        <v>0.1743533871447778</v>
      </c>
      <c r="P113" s="3">
        <f t="shared" si="17"/>
        <v>-0.7585696112131687</v>
      </c>
    </row>
    <row r="114" spans="1:16" ht="12.75">
      <c r="A114" s="46">
        <v>7</v>
      </c>
      <c r="B114" s="3">
        <v>1.13</v>
      </c>
      <c r="C114">
        <v>252</v>
      </c>
      <c r="D114" s="5">
        <f t="shared" si="18"/>
        <v>15.120000000000001</v>
      </c>
      <c r="E114" s="3">
        <v>0.22</v>
      </c>
      <c r="F114" s="3">
        <f t="shared" si="16"/>
        <v>-0.6575773191777937</v>
      </c>
      <c r="K114" s="46">
        <v>7</v>
      </c>
      <c r="L114" s="3">
        <v>1.13</v>
      </c>
      <c r="M114">
        <v>252</v>
      </c>
      <c r="N114" s="5">
        <f t="shared" si="19"/>
        <v>15.120000000000001</v>
      </c>
      <c r="O114" s="3">
        <f t="shared" si="15"/>
        <v>0.24846135929849958</v>
      </c>
      <c r="P114" s="3">
        <f t="shared" si="17"/>
        <v>-0.6047411431410941</v>
      </c>
    </row>
    <row r="115" spans="1:16" ht="12.75">
      <c r="A115" s="46">
        <v>8</v>
      </c>
      <c r="B115" s="3">
        <v>1.07</v>
      </c>
      <c r="C115">
        <v>258</v>
      </c>
      <c r="D115" s="5">
        <f t="shared" si="18"/>
        <v>15.48</v>
      </c>
      <c r="E115" s="3">
        <v>0.21</v>
      </c>
      <c r="F115" s="3">
        <f t="shared" si="16"/>
        <v>-0.6777807052660807</v>
      </c>
      <c r="K115" s="46">
        <v>8</v>
      </c>
      <c r="L115" s="3">
        <v>1.07</v>
      </c>
      <c r="M115">
        <v>258</v>
      </c>
      <c r="N115" s="5">
        <f t="shared" si="19"/>
        <v>15.48</v>
      </c>
      <c r="O115" s="3">
        <f t="shared" si="15"/>
        <v>0.23572233352106983</v>
      </c>
      <c r="P115" s="3">
        <f t="shared" si="17"/>
        <v>-0.6275992682798079</v>
      </c>
    </row>
    <row r="116" spans="1:16" ht="12.75">
      <c r="A116" s="46">
        <v>9</v>
      </c>
      <c r="B116" s="3">
        <v>0.93</v>
      </c>
      <c r="C116">
        <v>316</v>
      </c>
      <c r="D116" s="5">
        <f t="shared" si="18"/>
        <v>18.96</v>
      </c>
      <c r="E116" s="3">
        <v>0.17</v>
      </c>
      <c r="F116" s="3">
        <f t="shared" si="16"/>
        <v>-0.769551078621726</v>
      </c>
      <c r="K116" s="46">
        <v>9</v>
      </c>
      <c r="L116" s="3">
        <v>0.93</v>
      </c>
      <c r="M116">
        <v>316</v>
      </c>
      <c r="N116" s="5">
        <f t="shared" si="19"/>
        <v>18.96</v>
      </c>
      <c r="O116" s="3">
        <f t="shared" si="15"/>
        <v>0.18632957819149348</v>
      </c>
      <c r="P116" s="3">
        <f t="shared" si="17"/>
        <v>-0.7297181991792839</v>
      </c>
    </row>
    <row r="117" spans="1:16" ht="12.75">
      <c r="A117" s="46">
        <v>10</v>
      </c>
      <c r="B117" s="3">
        <v>1.1</v>
      </c>
      <c r="C117">
        <v>275</v>
      </c>
      <c r="D117" s="5">
        <f t="shared" si="18"/>
        <v>16.5</v>
      </c>
      <c r="E117" s="3">
        <v>0.1</v>
      </c>
      <c r="F117" s="3">
        <f t="shared" si="16"/>
        <v>-0.9999999999999999</v>
      </c>
      <c r="K117" s="46">
        <v>10</v>
      </c>
      <c r="L117" s="3">
        <v>1.1</v>
      </c>
      <c r="M117">
        <v>275</v>
      </c>
      <c r="N117" s="5">
        <f t="shared" si="19"/>
        <v>16.5</v>
      </c>
      <c r="O117" s="3">
        <f t="shared" si="15"/>
        <v>0.10536051565782627</v>
      </c>
      <c r="P117" s="3">
        <f t="shared" si="17"/>
        <v>-0.9773221125071639</v>
      </c>
    </row>
    <row r="118" spans="1:16" ht="12.75">
      <c r="A118" s="46">
        <v>11</v>
      </c>
      <c r="B118" s="3"/>
      <c r="D118" s="5"/>
      <c r="E118" s="3"/>
      <c r="F118" s="3"/>
      <c r="K118" s="46">
        <v>11</v>
      </c>
      <c r="L118" s="3"/>
      <c r="N118" s="5"/>
      <c r="O118" s="3"/>
      <c r="P118" s="3"/>
    </row>
    <row r="119" spans="1:16" ht="12.75">
      <c r="A119" s="46">
        <v>12</v>
      </c>
      <c r="B119" s="3">
        <v>1.03</v>
      </c>
      <c r="C119">
        <v>317</v>
      </c>
      <c r="D119" s="5">
        <f t="shared" si="18"/>
        <v>19.02</v>
      </c>
      <c r="E119" s="3">
        <v>0.21</v>
      </c>
      <c r="F119" s="3">
        <f t="shared" si="16"/>
        <v>-0.6777807052660807</v>
      </c>
      <c r="K119" s="46">
        <v>12</v>
      </c>
      <c r="L119" s="3">
        <v>1.03</v>
      </c>
      <c r="M119">
        <v>317</v>
      </c>
      <c r="N119" s="5">
        <f t="shared" si="19"/>
        <v>19.02</v>
      </c>
      <c r="O119" s="3">
        <f>-LN(1-E119)</f>
        <v>0.23572233352106983</v>
      </c>
      <c r="P119" s="3">
        <f t="shared" si="17"/>
        <v>-0.6275992682798079</v>
      </c>
    </row>
    <row r="120" spans="1:16" ht="12.75">
      <c r="A120" s="46">
        <v>13</v>
      </c>
      <c r="B120" s="3">
        <v>0.9</v>
      </c>
      <c r="C120">
        <v>250</v>
      </c>
      <c r="D120" s="5">
        <f t="shared" si="18"/>
        <v>15</v>
      </c>
      <c r="E120" s="3">
        <v>0.13</v>
      </c>
      <c r="F120" s="3">
        <f t="shared" si="16"/>
        <v>-0.8860566476931632</v>
      </c>
      <c r="K120" s="46">
        <v>13</v>
      </c>
      <c r="L120" s="3">
        <v>0.9</v>
      </c>
      <c r="M120">
        <v>250</v>
      </c>
      <c r="N120" s="5">
        <f t="shared" si="19"/>
        <v>15</v>
      </c>
      <c r="O120" s="3">
        <f>-LN(1-E120)</f>
        <v>0.13926206733350766</v>
      </c>
      <c r="P120" s="3">
        <f t="shared" si="17"/>
        <v>-0.8561671620480555</v>
      </c>
    </row>
    <row r="121" spans="1:16" ht="12.75">
      <c r="A121" s="46">
        <v>14</v>
      </c>
      <c r="B121" s="3"/>
      <c r="D121" s="5"/>
      <c r="E121" s="3"/>
      <c r="F121" s="3"/>
      <c r="K121" s="46">
        <v>14</v>
      </c>
      <c r="L121" s="3"/>
      <c r="N121" s="5"/>
      <c r="O121" s="3"/>
      <c r="P121" s="3"/>
    </row>
    <row r="122" spans="1:16" ht="12.75">
      <c r="A122" s="46">
        <v>15</v>
      </c>
      <c r="B122" s="3">
        <v>0.92</v>
      </c>
      <c r="C122">
        <v>301</v>
      </c>
      <c r="D122" s="5">
        <f t="shared" si="18"/>
        <v>18.06</v>
      </c>
      <c r="E122" s="3">
        <v>0.18</v>
      </c>
      <c r="F122" s="3">
        <f t="shared" si="16"/>
        <v>-0.7447274948966939</v>
      </c>
      <c r="K122" s="46">
        <v>15</v>
      </c>
      <c r="L122" s="3">
        <v>0.92</v>
      </c>
      <c r="M122">
        <v>301</v>
      </c>
      <c r="N122" s="5">
        <f t="shared" si="19"/>
        <v>18.06</v>
      </c>
      <c r="O122" s="3">
        <f>-LN(1-E122)</f>
        <v>0.19845093872383818</v>
      </c>
      <c r="P122" s="3">
        <f t="shared" si="17"/>
        <v>-0.7023468424276733</v>
      </c>
    </row>
    <row r="123" spans="1:16" ht="12.75">
      <c r="A123" s="46">
        <v>16</v>
      </c>
      <c r="B123" s="3">
        <v>0.95</v>
      </c>
      <c r="C123">
        <v>323</v>
      </c>
      <c r="D123" s="5">
        <f t="shared" si="18"/>
        <v>19.38</v>
      </c>
      <c r="E123" s="3">
        <v>0.1</v>
      </c>
      <c r="F123" s="3">
        <f t="shared" si="16"/>
        <v>-0.9999999999999999</v>
      </c>
      <c r="K123" s="46">
        <v>16</v>
      </c>
      <c r="L123" s="3">
        <v>0.95</v>
      </c>
      <c r="M123">
        <v>323</v>
      </c>
      <c r="N123" s="5">
        <f t="shared" si="19"/>
        <v>19.38</v>
      </c>
      <c r="O123" s="3">
        <f>-LN(1-E123)</f>
        <v>0.10536051565782627</v>
      </c>
      <c r="P123" s="3">
        <f t="shared" si="17"/>
        <v>-0.9773221125071639</v>
      </c>
    </row>
    <row r="124" spans="1:16" ht="12.75">
      <c r="A124" s="46">
        <v>17</v>
      </c>
      <c r="B124" s="3"/>
      <c r="D124" s="5"/>
      <c r="E124" s="3"/>
      <c r="F124" s="3"/>
      <c r="K124" s="46">
        <v>17</v>
      </c>
      <c r="L124" s="3"/>
      <c r="N124" s="5"/>
      <c r="O124" s="3"/>
      <c r="P124" s="3"/>
    </row>
    <row r="125" spans="1:16" ht="12.75">
      <c r="A125" s="46">
        <v>201</v>
      </c>
      <c r="B125" s="3">
        <v>1.08</v>
      </c>
      <c r="C125">
        <v>201</v>
      </c>
      <c r="D125" s="5">
        <f t="shared" si="18"/>
        <v>12.06</v>
      </c>
      <c r="E125" s="3">
        <v>0.11</v>
      </c>
      <c r="F125" s="3">
        <f t="shared" si="16"/>
        <v>-0.9586073148417749</v>
      </c>
      <c r="K125" s="46">
        <v>201</v>
      </c>
      <c r="L125" s="3">
        <v>1.08</v>
      </c>
      <c r="M125">
        <v>201</v>
      </c>
      <c r="N125" s="5">
        <f t="shared" si="19"/>
        <v>12.06</v>
      </c>
      <c r="O125" s="3">
        <f>-LN(1-E125)</f>
        <v>0.11653381625595151</v>
      </c>
      <c r="P125" s="3">
        <f t="shared" si="17"/>
        <v>-0.9335480310130718</v>
      </c>
    </row>
    <row r="126" spans="1:16" ht="12.75">
      <c r="A126" s="46">
        <v>204</v>
      </c>
      <c r="B126" s="3"/>
      <c r="D126" s="5"/>
      <c r="E126" s="3"/>
      <c r="F126" s="3"/>
      <c r="K126" s="46">
        <v>204</v>
      </c>
      <c r="L126" s="3"/>
      <c r="N126" s="5"/>
      <c r="O126" s="3"/>
      <c r="P126" s="3"/>
    </row>
    <row r="127" spans="1:19" ht="12.75">
      <c r="A127" s="46">
        <v>205</v>
      </c>
      <c r="B127" s="3"/>
      <c r="D127" s="5"/>
      <c r="E127" s="3"/>
      <c r="F127" s="3"/>
      <c r="I127" s="47" t="s">
        <v>519</v>
      </c>
      <c r="K127" s="46">
        <v>205</v>
      </c>
      <c r="L127" s="3"/>
      <c r="N127" s="5"/>
      <c r="O127" s="3"/>
      <c r="P127" s="3"/>
      <c r="S127" s="47" t="s">
        <v>519</v>
      </c>
    </row>
    <row r="128" spans="1:19" ht="12.75">
      <c r="A128" s="46">
        <v>206</v>
      </c>
      <c r="B128" s="3">
        <v>1.02</v>
      </c>
      <c r="C128">
        <v>311</v>
      </c>
      <c r="D128" s="5">
        <f t="shared" si="18"/>
        <v>18.66</v>
      </c>
      <c r="E128" s="3">
        <v>0.15</v>
      </c>
      <c r="F128" s="3">
        <f t="shared" si="16"/>
        <v>-0.8239087409443188</v>
      </c>
      <c r="I128">
        <f>COUNT(B108:B136)</f>
        <v>18</v>
      </c>
      <c r="K128" s="46">
        <v>206</v>
      </c>
      <c r="L128" s="3">
        <v>1.02</v>
      </c>
      <c r="M128">
        <v>311</v>
      </c>
      <c r="N128" s="5">
        <f t="shared" si="19"/>
        <v>18.66</v>
      </c>
      <c r="O128" s="3">
        <f>-LN(1-E128)</f>
        <v>0.1625189294977749</v>
      </c>
      <c r="P128" s="3">
        <f t="shared" si="17"/>
        <v>-0.7890960470073316</v>
      </c>
      <c r="S128">
        <f>COUNT(L108:L136)</f>
        <v>18</v>
      </c>
    </row>
    <row r="129" spans="1:19" ht="12.75">
      <c r="A129" s="46">
        <v>207</v>
      </c>
      <c r="B129" s="3">
        <v>1.05</v>
      </c>
      <c r="C129">
        <v>343</v>
      </c>
      <c r="D129" s="5">
        <f t="shared" si="18"/>
        <v>20.580000000000002</v>
      </c>
      <c r="E129" s="3">
        <v>0.25</v>
      </c>
      <c r="F129" s="3">
        <f t="shared" si="16"/>
        <v>-0.6020599913279624</v>
      </c>
      <c r="I129" s="48" t="s">
        <v>598</v>
      </c>
      <c r="K129" s="46">
        <v>207</v>
      </c>
      <c r="L129" s="3">
        <v>1.05</v>
      </c>
      <c r="M129">
        <v>343</v>
      </c>
      <c r="N129" s="5">
        <f t="shared" si="19"/>
        <v>20.580000000000002</v>
      </c>
      <c r="O129" s="3">
        <f>-LN(1-E129)</f>
        <v>0.2876820724517809</v>
      </c>
      <c r="P129" s="3">
        <f t="shared" si="17"/>
        <v>-0.5410872012930469</v>
      </c>
      <c r="S129" s="48" t="s">
        <v>598</v>
      </c>
    </row>
    <row r="130" spans="1:19" ht="12.75">
      <c r="A130" s="46">
        <v>208</v>
      </c>
      <c r="B130" s="3">
        <v>1.02</v>
      </c>
      <c r="C130">
        <v>283</v>
      </c>
      <c r="D130" s="5">
        <f t="shared" si="18"/>
        <v>16.979999999999997</v>
      </c>
      <c r="E130" s="3">
        <v>0.2</v>
      </c>
      <c r="F130" s="3">
        <f t="shared" si="16"/>
        <v>-0.6989700043360187</v>
      </c>
      <c r="I130" s="3">
        <f>AVERAGE(E108:E136)</f>
        <v>0.16555555555555557</v>
      </c>
      <c r="K130" s="46">
        <v>208</v>
      </c>
      <c r="L130" s="3">
        <v>1.02</v>
      </c>
      <c r="M130">
        <v>283</v>
      </c>
      <c r="N130" s="5">
        <f t="shared" si="19"/>
        <v>16.979999999999997</v>
      </c>
      <c r="O130" s="3">
        <f>-LN(1-E130)</f>
        <v>0.22314355131420968</v>
      </c>
      <c r="P130" s="3">
        <f t="shared" si="17"/>
        <v>-0.6514156594356943</v>
      </c>
      <c r="S130" s="3">
        <f>AVERAGE(O108:O136)</f>
        <v>0.1825186597084397</v>
      </c>
    </row>
    <row r="131" spans="1:19" ht="12.75">
      <c r="A131" s="46">
        <v>202</v>
      </c>
      <c r="B131" s="3"/>
      <c r="D131" s="5"/>
      <c r="E131" s="3"/>
      <c r="F131" s="3"/>
      <c r="I131" s="47" t="s">
        <v>431</v>
      </c>
      <c r="K131" s="46">
        <v>202</v>
      </c>
      <c r="L131" s="3"/>
      <c r="N131" s="5"/>
      <c r="O131" s="3"/>
      <c r="P131" s="3"/>
      <c r="S131" s="47" t="s">
        <v>431</v>
      </c>
    </row>
    <row r="132" spans="1:19" ht="12.75">
      <c r="A132" s="46">
        <v>203</v>
      </c>
      <c r="B132" s="3"/>
      <c r="D132" s="5"/>
      <c r="E132" s="3"/>
      <c r="F132" s="3"/>
      <c r="I132" s="3">
        <f>STDEV(E108:E136)</f>
        <v>0.047306537568628</v>
      </c>
      <c r="K132" s="46">
        <v>203</v>
      </c>
      <c r="L132" s="3"/>
      <c r="N132" s="5"/>
      <c r="O132" s="3"/>
      <c r="P132" s="3"/>
      <c r="S132" s="3">
        <f>STDEV(O108:O136)</f>
        <v>0.05702767066111929</v>
      </c>
    </row>
    <row r="133" spans="1:19" ht="12.75">
      <c r="A133" s="46">
        <v>209</v>
      </c>
      <c r="B133" s="3"/>
      <c r="D133" s="5"/>
      <c r="E133" s="3"/>
      <c r="I133" t="s">
        <v>126</v>
      </c>
      <c r="K133" s="46">
        <v>209</v>
      </c>
      <c r="L133" s="3"/>
      <c r="N133" s="5"/>
      <c r="O133" s="3"/>
      <c r="S133" t="s">
        <v>126</v>
      </c>
    </row>
    <row r="134" spans="1:19" ht="12.75">
      <c r="A134" s="46">
        <v>210</v>
      </c>
      <c r="B134" s="3"/>
      <c r="D134" s="5"/>
      <c r="E134" s="3"/>
      <c r="F134" s="3"/>
      <c r="I134" s="3">
        <f>EXP(SQRT(LN(POWER(I132,2)/POWER(I130,2)+1)))</f>
        <v>1.3233363040736328</v>
      </c>
      <c r="K134" s="46">
        <v>210</v>
      </c>
      <c r="L134" s="3"/>
      <c r="N134" s="5"/>
      <c r="O134" s="3"/>
      <c r="P134" s="3"/>
      <c r="S134" s="3">
        <f>EXP(SQRT(LN(POWER(S132,2)/POWER(S130,2)+1)))</f>
        <v>1.3568981987537885</v>
      </c>
    </row>
    <row r="135" spans="1:20" ht="12.75">
      <c r="A135" s="46">
        <v>211</v>
      </c>
      <c r="B135" s="3"/>
      <c r="D135" s="5"/>
      <c r="E135" s="3"/>
      <c r="F135" s="3"/>
      <c r="H135" t="s">
        <v>384</v>
      </c>
      <c r="I135" t="s">
        <v>384</v>
      </c>
      <c r="J135" s="85" t="s">
        <v>323</v>
      </c>
      <c r="K135" s="46">
        <v>211</v>
      </c>
      <c r="L135" s="3"/>
      <c r="N135" s="5"/>
      <c r="O135" s="3"/>
      <c r="P135" s="3"/>
      <c r="R135" t="s">
        <v>384</v>
      </c>
      <c r="S135" t="s">
        <v>384</v>
      </c>
      <c r="T135" s="85" t="s">
        <v>323</v>
      </c>
    </row>
    <row r="136" spans="1:20" ht="12.75">
      <c r="A136" s="46">
        <v>212</v>
      </c>
      <c r="B136" s="3"/>
      <c r="D136" s="5"/>
      <c r="E136" s="3"/>
      <c r="F136" s="3"/>
      <c r="H136" s="94">
        <f>STDEV(F108:F136)</f>
        <v>0.12863955693715762</v>
      </c>
      <c r="I136" s="40">
        <f>LOG10(I134)</f>
        <v>0.121670226986529</v>
      </c>
      <c r="J136" s="86">
        <f>H136/I136</f>
        <v>1.0572804877844129</v>
      </c>
      <c r="K136" s="46">
        <v>212</v>
      </c>
      <c r="L136" s="3"/>
      <c r="N136" s="5"/>
      <c r="O136" s="3"/>
      <c r="P136" s="3"/>
      <c r="R136" s="178">
        <f>STDEV(P108:P136)</f>
        <v>0.1405208461360448</v>
      </c>
      <c r="S136" s="40">
        <f>LOG10(S134)</f>
        <v>0.13254726595160846</v>
      </c>
      <c r="T136" s="86">
        <f>R136/S136</f>
        <v>1.0601565043774452</v>
      </c>
    </row>
    <row r="137" spans="2:15" ht="12.75">
      <c r="B137" s="47" t="s">
        <v>598</v>
      </c>
      <c r="D137" s="47" t="s">
        <v>598</v>
      </c>
      <c r="E137" s="48" t="s">
        <v>598</v>
      </c>
      <c r="L137" s="47" t="s">
        <v>598</v>
      </c>
      <c r="N137" s="47" t="s">
        <v>598</v>
      </c>
      <c r="O137" s="48" t="s">
        <v>598</v>
      </c>
    </row>
    <row r="138" spans="2:15" ht="12.75">
      <c r="B138" s="3">
        <f>AVERAGE(B108:B136)</f>
        <v>1.0377777777777777</v>
      </c>
      <c r="D138" s="5">
        <f>AVERAGE(D108:D136)</f>
        <v>17.016666666666666</v>
      </c>
      <c r="E138" s="3">
        <f>AVERAGE(E108:E136)</f>
        <v>0.16555555555555557</v>
      </c>
      <c r="L138" s="3">
        <f>AVERAGE(L108:L136)</f>
        <v>1.0377777777777777</v>
      </c>
      <c r="N138" s="5">
        <f>AVERAGE(N108:N136)</f>
        <v>17.016666666666666</v>
      </c>
      <c r="O138" s="3">
        <f>AVERAGE(O108:O136)</f>
        <v>0.1825186597084397</v>
      </c>
    </row>
    <row r="140" spans="1:16" ht="12.75">
      <c r="A140" t="s">
        <v>127</v>
      </c>
      <c r="B140" t="s">
        <v>222</v>
      </c>
      <c r="C140" t="s">
        <v>223</v>
      </c>
      <c r="D140" t="s">
        <v>224</v>
      </c>
      <c r="E140" t="s">
        <v>132</v>
      </c>
      <c r="F140" t="s">
        <v>225</v>
      </c>
      <c r="K140" t="s">
        <v>127</v>
      </c>
      <c r="L140" t="s">
        <v>222</v>
      </c>
      <c r="M140" t="s">
        <v>223</v>
      </c>
      <c r="N140" t="s">
        <v>224</v>
      </c>
      <c r="O140" t="s">
        <v>132</v>
      </c>
      <c r="P140" t="s">
        <v>225</v>
      </c>
    </row>
    <row r="141" spans="1:16" ht="12.75">
      <c r="A141" s="46">
        <v>1</v>
      </c>
      <c r="B141" s="3">
        <v>2.28</v>
      </c>
      <c r="C141">
        <v>271</v>
      </c>
      <c r="D141" s="5">
        <f>(C141/1000)*60</f>
        <v>16.26</v>
      </c>
      <c r="E141" s="3">
        <v>0.45</v>
      </c>
      <c r="F141" s="3">
        <f>LOG10(E141)</f>
        <v>-0.3467874862246563</v>
      </c>
      <c r="K141" s="46">
        <v>1</v>
      </c>
      <c r="L141" s="3">
        <v>2.28</v>
      </c>
      <c r="M141">
        <v>271</v>
      </c>
      <c r="N141" s="5">
        <f>(M141/1000)*60</f>
        <v>16.26</v>
      </c>
      <c r="O141" s="3">
        <f>-LN(1-E141)</f>
        <v>0.5978370007556204</v>
      </c>
      <c r="P141" s="3">
        <f>LOG10(O141)</f>
        <v>-0.2234172095263945</v>
      </c>
    </row>
    <row r="142" spans="1:16" ht="12.75">
      <c r="A142" s="46">
        <v>2</v>
      </c>
      <c r="B142" s="3">
        <v>2.28</v>
      </c>
      <c r="C142">
        <v>243</v>
      </c>
      <c r="D142" s="5">
        <f>C142/1000*60</f>
        <v>14.58</v>
      </c>
      <c r="E142" s="3">
        <v>0.46</v>
      </c>
      <c r="F142" s="3">
        <f aca="true" t="shared" si="20" ref="F142:F163">LOG10(E142)</f>
        <v>-0.3372421683184259</v>
      </c>
      <c r="K142" s="46">
        <v>2</v>
      </c>
      <c r="L142" s="3">
        <v>2.28</v>
      </c>
      <c r="M142">
        <v>243</v>
      </c>
      <c r="N142" s="5">
        <f>M142/1000*60</f>
        <v>14.58</v>
      </c>
      <c r="O142" s="3">
        <f>-LN(1-E142)</f>
        <v>0.616186139423817</v>
      </c>
      <c r="P142" s="3">
        <f aca="true" t="shared" si="21" ref="P142:P163">LOG10(O142)</f>
        <v>-0.21028807498930588</v>
      </c>
    </row>
    <row r="143" spans="1:16" ht="12.75">
      <c r="A143" s="46">
        <v>3</v>
      </c>
      <c r="B143" s="3">
        <v>2.28</v>
      </c>
      <c r="C143">
        <v>393</v>
      </c>
      <c r="D143" s="5">
        <f aca="true" t="shared" si="22" ref="D143:D163">C143/1000*60</f>
        <v>23.580000000000002</v>
      </c>
      <c r="E143" s="3">
        <v>0.46</v>
      </c>
      <c r="F143" s="3">
        <f t="shared" si="20"/>
        <v>-0.3372421683184259</v>
      </c>
      <c r="K143" s="46">
        <v>3</v>
      </c>
      <c r="L143" s="3">
        <v>2.28</v>
      </c>
      <c r="M143">
        <v>393</v>
      </c>
      <c r="N143" s="5">
        <f aca="true" t="shared" si="23" ref="N143:N163">M143/1000*60</f>
        <v>23.580000000000002</v>
      </c>
      <c r="O143" s="3">
        <f>-LN(1-E143)</f>
        <v>0.616186139423817</v>
      </c>
      <c r="P143" s="3">
        <f t="shared" si="21"/>
        <v>-0.21028807498930588</v>
      </c>
    </row>
    <row r="144" spans="1:16" ht="12.75">
      <c r="A144" s="46">
        <v>4</v>
      </c>
      <c r="B144" s="3">
        <v>2.28</v>
      </c>
      <c r="C144">
        <v>374</v>
      </c>
      <c r="D144" s="5">
        <f t="shared" si="22"/>
        <v>22.44</v>
      </c>
      <c r="E144" s="3">
        <v>0.61</v>
      </c>
      <c r="F144" s="3">
        <f t="shared" si="20"/>
        <v>-0.21467016498923297</v>
      </c>
      <c r="K144" s="46">
        <v>4</v>
      </c>
      <c r="L144" s="3">
        <v>2.28</v>
      </c>
      <c r="M144">
        <v>374</v>
      </c>
      <c r="N144" s="5">
        <f t="shared" si="23"/>
        <v>22.44</v>
      </c>
      <c r="O144" s="3">
        <f>-LN(1-E144)</f>
        <v>0.9416085398584448</v>
      </c>
      <c r="P144" s="3">
        <f t="shared" si="21"/>
        <v>-0.02612961134072586</v>
      </c>
    </row>
    <row r="145" spans="1:16" ht="12.75">
      <c r="A145" s="46">
        <v>5</v>
      </c>
      <c r="B145" s="3"/>
      <c r="D145" s="5"/>
      <c r="E145" s="3"/>
      <c r="F145" s="3"/>
      <c r="K145" s="46">
        <v>5</v>
      </c>
      <c r="L145" s="3"/>
      <c r="N145" s="5"/>
      <c r="O145" s="3"/>
      <c r="P145" s="3"/>
    </row>
    <row r="146" spans="1:16" ht="12.75">
      <c r="A146" s="46">
        <v>6</v>
      </c>
      <c r="B146" s="3">
        <v>2.28</v>
      </c>
      <c r="C146">
        <v>340</v>
      </c>
      <c r="D146" s="5">
        <f t="shared" si="22"/>
        <v>20.400000000000002</v>
      </c>
      <c r="E146" s="3">
        <v>0.6</v>
      </c>
      <c r="F146" s="3">
        <f t="shared" si="20"/>
        <v>-0.22184874961635637</v>
      </c>
      <c r="K146" s="46">
        <v>6</v>
      </c>
      <c r="L146" s="3">
        <v>2.28</v>
      </c>
      <c r="M146">
        <v>340</v>
      </c>
      <c r="N146" s="5">
        <f t="shared" si="23"/>
        <v>20.400000000000002</v>
      </c>
      <c r="O146" s="3">
        <f>-LN(1-E146)</f>
        <v>0.916290731874155</v>
      </c>
      <c r="P146" s="3">
        <f t="shared" si="21"/>
        <v>-0.03796670622803395</v>
      </c>
    </row>
    <row r="147" spans="1:16" ht="12.75">
      <c r="A147" s="46">
        <v>7</v>
      </c>
      <c r="B147" s="3">
        <v>2.28</v>
      </c>
      <c r="C147">
        <v>268</v>
      </c>
      <c r="D147" s="5">
        <f t="shared" si="22"/>
        <v>16.080000000000002</v>
      </c>
      <c r="E147" s="3">
        <v>0.57</v>
      </c>
      <c r="F147" s="3">
        <f t="shared" si="20"/>
        <v>-0.24412514432750865</v>
      </c>
      <c r="K147" s="46">
        <v>7</v>
      </c>
      <c r="L147" s="3">
        <v>2.28</v>
      </c>
      <c r="M147">
        <v>268</v>
      </c>
      <c r="N147" s="5">
        <f t="shared" si="23"/>
        <v>16.080000000000002</v>
      </c>
      <c r="O147" s="3">
        <f>-LN(1-E147)</f>
        <v>0.8439700702945289</v>
      </c>
      <c r="P147" s="3">
        <f t="shared" si="21"/>
        <v>-0.07367295448383286</v>
      </c>
    </row>
    <row r="148" spans="1:16" ht="12.75">
      <c r="A148" s="46">
        <v>8</v>
      </c>
      <c r="B148" s="3">
        <v>2.23</v>
      </c>
      <c r="C148">
        <v>226</v>
      </c>
      <c r="D148" s="5">
        <f t="shared" si="22"/>
        <v>13.56</v>
      </c>
      <c r="E148" s="3">
        <v>0.53</v>
      </c>
      <c r="F148" s="3">
        <f t="shared" si="20"/>
        <v>-0.27572413039921095</v>
      </c>
      <c r="K148" s="46">
        <v>8</v>
      </c>
      <c r="L148" s="3">
        <v>2.23</v>
      </c>
      <c r="M148">
        <v>226</v>
      </c>
      <c r="N148" s="5">
        <f t="shared" si="23"/>
        <v>13.56</v>
      </c>
      <c r="O148" s="3">
        <f>-LN(1-E148)</f>
        <v>0.7550225842780328</v>
      </c>
      <c r="P148" s="3">
        <f t="shared" si="21"/>
        <v>-0.12204005753553515</v>
      </c>
    </row>
    <row r="149" spans="1:16" ht="12.75">
      <c r="A149" s="46">
        <v>9</v>
      </c>
      <c r="B149" s="3">
        <v>2.22</v>
      </c>
      <c r="C149">
        <v>224</v>
      </c>
      <c r="D149" s="5">
        <f t="shared" si="22"/>
        <v>13.44</v>
      </c>
      <c r="E149" s="3">
        <v>0.49</v>
      </c>
      <c r="F149" s="3">
        <f t="shared" si="20"/>
        <v>-0.3098039199714863</v>
      </c>
      <c r="K149" s="46">
        <v>9</v>
      </c>
      <c r="L149" s="3">
        <v>2.22</v>
      </c>
      <c r="M149">
        <v>224</v>
      </c>
      <c r="N149" s="5">
        <f t="shared" si="23"/>
        <v>13.44</v>
      </c>
      <c r="O149" s="3">
        <f>-LN(1-E149)</f>
        <v>0.6733445532637656</v>
      </c>
      <c r="P149" s="3">
        <f t="shared" si="21"/>
        <v>-0.17176264857015267</v>
      </c>
    </row>
    <row r="150" spans="1:16" ht="12.75">
      <c r="A150" s="46">
        <v>10</v>
      </c>
      <c r="B150" s="3">
        <v>2.3</v>
      </c>
      <c r="C150">
        <v>267</v>
      </c>
      <c r="D150" s="5">
        <f t="shared" si="22"/>
        <v>16.02</v>
      </c>
      <c r="E150" s="3">
        <v>0.32</v>
      </c>
      <c r="F150" s="3">
        <f t="shared" si="20"/>
        <v>-0.494850021680094</v>
      </c>
      <c r="K150" s="46">
        <v>10</v>
      </c>
      <c r="L150" s="3">
        <v>2.3</v>
      </c>
      <c r="M150">
        <v>267</v>
      </c>
      <c r="N150" s="5">
        <f t="shared" si="23"/>
        <v>16.02</v>
      </c>
      <c r="O150" s="3">
        <f>-LN(1-E150)</f>
        <v>0.3856624808119848</v>
      </c>
      <c r="P150" s="3">
        <f t="shared" si="21"/>
        <v>-0.41379260943288027</v>
      </c>
    </row>
    <row r="151" spans="1:16" ht="12.75">
      <c r="A151" s="46">
        <v>11</v>
      </c>
      <c r="B151" s="3"/>
      <c r="D151" s="5"/>
      <c r="E151" s="3"/>
      <c r="F151" s="3"/>
      <c r="K151" s="46">
        <v>11</v>
      </c>
      <c r="L151" s="3"/>
      <c r="N151" s="5"/>
      <c r="O151" s="3"/>
      <c r="P151" s="3"/>
    </row>
    <row r="152" spans="1:16" ht="12.75">
      <c r="A152" s="46">
        <v>12</v>
      </c>
      <c r="B152" s="3">
        <v>2.28</v>
      </c>
      <c r="C152">
        <v>296</v>
      </c>
      <c r="D152" s="5">
        <f t="shared" si="22"/>
        <v>17.759999999999998</v>
      </c>
      <c r="E152" s="3">
        <v>0.5</v>
      </c>
      <c r="F152" s="3">
        <f t="shared" si="20"/>
        <v>-0.3010299956639812</v>
      </c>
      <c r="K152" s="46">
        <v>12</v>
      </c>
      <c r="L152" s="3">
        <v>2.28</v>
      </c>
      <c r="M152">
        <v>296</v>
      </c>
      <c r="N152" s="5">
        <f t="shared" si="23"/>
        <v>17.759999999999998</v>
      </c>
      <c r="O152" s="3">
        <f aca="true" t="shared" si="24" ref="O152:O158">-LN(1-E152)</f>
        <v>0.6931471805599453</v>
      </c>
      <c r="P152" s="3">
        <f t="shared" si="21"/>
        <v>-0.1591745389548616</v>
      </c>
    </row>
    <row r="153" spans="1:16" ht="12.75">
      <c r="A153" s="46">
        <v>13</v>
      </c>
      <c r="B153" s="3">
        <v>2.3</v>
      </c>
      <c r="C153">
        <v>287</v>
      </c>
      <c r="D153" s="5">
        <f t="shared" si="22"/>
        <v>17.22</v>
      </c>
      <c r="E153" s="3">
        <v>0.52</v>
      </c>
      <c r="F153" s="3">
        <f t="shared" si="20"/>
        <v>-0.2839966563652008</v>
      </c>
      <c r="K153" s="46">
        <v>13</v>
      </c>
      <c r="L153" s="3">
        <v>2.3</v>
      </c>
      <c r="M153">
        <v>287</v>
      </c>
      <c r="N153" s="5">
        <f t="shared" si="23"/>
        <v>17.22</v>
      </c>
      <c r="O153" s="3">
        <f t="shared" si="24"/>
        <v>0.7339691750802004</v>
      </c>
      <c r="P153" s="3">
        <f t="shared" si="21"/>
        <v>-0.1343221790126526</v>
      </c>
    </row>
    <row r="154" spans="1:16" ht="12.75">
      <c r="A154" s="46">
        <v>14</v>
      </c>
      <c r="B154" s="3">
        <v>2.3</v>
      </c>
      <c r="C154">
        <v>309</v>
      </c>
      <c r="D154" s="5">
        <f t="shared" si="22"/>
        <v>18.54</v>
      </c>
      <c r="E154" s="3">
        <v>0.54</v>
      </c>
      <c r="F154" s="3">
        <f t="shared" si="20"/>
        <v>-0.2676062401770315</v>
      </c>
      <c r="K154" s="46">
        <v>14</v>
      </c>
      <c r="L154" s="3">
        <v>2.3</v>
      </c>
      <c r="M154">
        <v>309</v>
      </c>
      <c r="N154" s="5">
        <f t="shared" si="23"/>
        <v>18.54</v>
      </c>
      <c r="O154" s="3">
        <f t="shared" si="24"/>
        <v>0.7765287894989965</v>
      </c>
      <c r="P154" s="3">
        <f t="shared" si="21"/>
        <v>-0.1098424383400924</v>
      </c>
    </row>
    <row r="155" spans="1:16" ht="12.75">
      <c r="A155" s="46">
        <v>15</v>
      </c>
      <c r="B155" s="3">
        <v>2.28</v>
      </c>
      <c r="C155">
        <v>310</v>
      </c>
      <c r="D155" s="5">
        <f t="shared" si="22"/>
        <v>18.6</v>
      </c>
      <c r="E155" s="3">
        <v>0.54</v>
      </c>
      <c r="F155" s="3">
        <f t="shared" si="20"/>
        <v>-0.2676062401770315</v>
      </c>
      <c r="K155" s="46">
        <v>15</v>
      </c>
      <c r="L155" s="3">
        <v>2.28</v>
      </c>
      <c r="M155">
        <v>310</v>
      </c>
      <c r="N155" s="5">
        <f t="shared" si="23"/>
        <v>18.6</v>
      </c>
      <c r="O155" s="3">
        <f t="shared" si="24"/>
        <v>0.7765287894989965</v>
      </c>
      <c r="P155" s="3">
        <f t="shared" si="21"/>
        <v>-0.1098424383400924</v>
      </c>
    </row>
    <row r="156" spans="1:16" ht="12.75">
      <c r="A156" s="46">
        <v>16</v>
      </c>
      <c r="B156" s="3">
        <v>2.28</v>
      </c>
      <c r="C156">
        <v>238</v>
      </c>
      <c r="D156" s="5">
        <f t="shared" si="22"/>
        <v>14.28</v>
      </c>
      <c r="E156" s="3">
        <v>0.44</v>
      </c>
      <c r="F156" s="3">
        <f t="shared" si="20"/>
        <v>-0.3565473235138126</v>
      </c>
      <c r="K156" s="46">
        <v>16</v>
      </c>
      <c r="L156" s="3">
        <v>2.28</v>
      </c>
      <c r="M156">
        <v>238</v>
      </c>
      <c r="N156" s="5">
        <f t="shared" si="23"/>
        <v>14.28</v>
      </c>
      <c r="O156" s="3">
        <f t="shared" si="24"/>
        <v>0.579818495252942</v>
      </c>
      <c r="P156" s="3">
        <f t="shared" si="21"/>
        <v>-0.2367079354829482</v>
      </c>
    </row>
    <row r="157" spans="1:16" ht="12.75">
      <c r="A157" s="46">
        <v>17</v>
      </c>
      <c r="B157" s="3">
        <v>2.25</v>
      </c>
      <c r="C157">
        <v>323</v>
      </c>
      <c r="D157" s="5">
        <f t="shared" si="22"/>
        <v>19.38</v>
      </c>
      <c r="E157" s="3">
        <v>0.36</v>
      </c>
      <c r="F157" s="3">
        <f t="shared" si="20"/>
        <v>-0.44369749923271273</v>
      </c>
      <c r="K157" s="46">
        <v>17</v>
      </c>
      <c r="L157" s="3">
        <v>2.25</v>
      </c>
      <c r="M157">
        <v>323</v>
      </c>
      <c r="N157" s="5">
        <f t="shared" si="23"/>
        <v>19.38</v>
      </c>
      <c r="O157" s="3">
        <f t="shared" si="24"/>
        <v>0.44628710262841953</v>
      </c>
      <c r="P157" s="3">
        <f t="shared" si="21"/>
        <v>-0.350385663771713</v>
      </c>
    </row>
    <row r="158" spans="1:16" ht="12.75">
      <c r="A158" s="46">
        <v>201</v>
      </c>
      <c r="B158" s="3">
        <v>2.08</v>
      </c>
      <c r="C158">
        <v>260</v>
      </c>
      <c r="D158" s="5">
        <f t="shared" si="22"/>
        <v>15.600000000000001</v>
      </c>
      <c r="E158" s="3">
        <v>0.36</v>
      </c>
      <c r="F158" s="3">
        <f t="shared" si="20"/>
        <v>-0.44369749923271273</v>
      </c>
      <c r="K158" s="46">
        <v>201</v>
      </c>
      <c r="L158" s="3">
        <v>2.08</v>
      </c>
      <c r="M158">
        <v>260</v>
      </c>
      <c r="N158" s="5">
        <f t="shared" si="23"/>
        <v>15.600000000000001</v>
      </c>
      <c r="O158" s="3">
        <f t="shared" si="24"/>
        <v>0.44628710262841953</v>
      </c>
      <c r="P158" s="3">
        <f t="shared" si="21"/>
        <v>-0.350385663771713</v>
      </c>
    </row>
    <row r="159" spans="1:16" ht="12.75">
      <c r="A159" s="46">
        <v>204</v>
      </c>
      <c r="B159" s="3"/>
      <c r="D159" s="5"/>
      <c r="E159" s="3"/>
      <c r="F159" s="3"/>
      <c r="K159" s="46">
        <v>204</v>
      </c>
      <c r="L159" s="3"/>
      <c r="N159" s="5"/>
      <c r="O159" s="3"/>
      <c r="P159" s="3"/>
    </row>
    <row r="160" spans="1:19" ht="12.75">
      <c r="A160" s="46">
        <v>205</v>
      </c>
      <c r="B160" s="3"/>
      <c r="D160" s="5"/>
      <c r="E160" s="3"/>
      <c r="F160" s="3"/>
      <c r="I160" s="47" t="s">
        <v>519</v>
      </c>
      <c r="K160" s="46">
        <v>205</v>
      </c>
      <c r="L160" s="3"/>
      <c r="N160" s="5"/>
      <c r="O160" s="3"/>
      <c r="P160" s="3"/>
      <c r="S160" s="47" t="s">
        <v>519</v>
      </c>
    </row>
    <row r="161" spans="1:19" ht="12.75">
      <c r="A161" s="46">
        <v>206</v>
      </c>
      <c r="B161" s="3">
        <v>2.08</v>
      </c>
      <c r="C161">
        <v>295</v>
      </c>
      <c r="D161" s="5">
        <f t="shared" si="22"/>
        <v>17.7</v>
      </c>
      <c r="E161" s="3">
        <v>0.38</v>
      </c>
      <c r="F161" s="3">
        <f t="shared" si="20"/>
        <v>-0.4202164033831898</v>
      </c>
      <c r="I161">
        <f>COUNT(B141:B169)</f>
        <v>19</v>
      </c>
      <c r="K161" s="46">
        <v>206</v>
      </c>
      <c r="L161" s="3">
        <v>2.08</v>
      </c>
      <c r="M161">
        <v>295</v>
      </c>
      <c r="N161" s="5">
        <f t="shared" si="23"/>
        <v>17.7</v>
      </c>
      <c r="O161" s="3">
        <f>-LN(1-E161)</f>
        <v>0.4780358009429998</v>
      </c>
      <c r="P161" s="3">
        <f t="shared" si="21"/>
        <v>-0.32053957709130587</v>
      </c>
      <c r="S161">
        <f>COUNT(L141:L169)</f>
        <v>19</v>
      </c>
    </row>
    <row r="162" spans="1:19" ht="12.75">
      <c r="A162" s="46">
        <v>207</v>
      </c>
      <c r="B162" s="3">
        <v>2.04</v>
      </c>
      <c r="C162">
        <v>275</v>
      </c>
      <c r="D162" s="5">
        <f t="shared" si="22"/>
        <v>16.5</v>
      </c>
      <c r="E162" s="3">
        <v>0.58</v>
      </c>
      <c r="F162" s="3">
        <f t="shared" si="20"/>
        <v>-0.23657200643706278</v>
      </c>
      <c r="I162" s="48" t="s">
        <v>598</v>
      </c>
      <c r="K162" s="46">
        <v>207</v>
      </c>
      <c r="L162" s="3">
        <v>2.04</v>
      </c>
      <c r="M162">
        <v>275</v>
      </c>
      <c r="N162" s="5">
        <f t="shared" si="23"/>
        <v>16.5</v>
      </c>
      <c r="O162" s="3">
        <f>-LN(1-E162)</f>
        <v>0.867500567704723</v>
      </c>
      <c r="P162" s="3">
        <f t="shared" si="21"/>
        <v>-0.061730232328503255</v>
      </c>
      <c r="S162" s="48" t="s">
        <v>598</v>
      </c>
    </row>
    <row r="163" spans="1:19" ht="12.75">
      <c r="A163" s="46">
        <v>208</v>
      </c>
      <c r="B163" s="3">
        <v>2.07</v>
      </c>
      <c r="C163">
        <v>245</v>
      </c>
      <c r="D163" s="5">
        <f t="shared" si="22"/>
        <v>14.7</v>
      </c>
      <c r="E163" s="3">
        <v>0.53</v>
      </c>
      <c r="F163" s="3">
        <f t="shared" si="20"/>
        <v>-0.27572413039921095</v>
      </c>
      <c r="I163" s="3">
        <f>AVERAGE(E141:E169)</f>
        <v>0.4863157894736842</v>
      </c>
      <c r="K163" s="46">
        <v>208</v>
      </c>
      <c r="L163" s="3">
        <v>2.07</v>
      </c>
      <c r="M163">
        <v>245</v>
      </c>
      <c r="N163" s="5">
        <f t="shared" si="23"/>
        <v>14.7</v>
      </c>
      <c r="O163" s="3">
        <f>-LN(1-E163)</f>
        <v>0.7550225842780328</v>
      </c>
      <c r="P163" s="3">
        <f t="shared" si="21"/>
        <v>-0.12204005753553515</v>
      </c>
      <c r="S163" s="3">
        <f>AVERAGE(O141:O169)</f>
        <v>0.6789070435819916</v>
      </c>
    </row>
    <row r="164" spans="1:19" ht="12.75">
      <c r="A164" s="46">
        <v>202</v>
      </c>
      <c r="B164" s="3"/>
      <c r="D164" s="5"/>
      <c r="E164" s="3"/>
      <c r="F164" s="3"/>
      <c r="I164" s="47" t="s">
        <v>431</v>
      </c>
      <c r="K164" s="46">
        <v>202</v>
      </c>
      <c r="L164" s="3"/>
      <c r="N164" s="5"/>
      <c r="O164" s="3"/>
      <c r="P164" s="3"/>
      <c r="S164" s="47" t="s">
        <v>431</v>
      </c>
    </row>
    <row r="165" spans="1:19" ht="12.75">
      <c r="A165" s="46">
        <v>203</v>
      </c>
      <c r="B165" s="3"/>
      <c r="D165" s="5"/>
      <c r="E165" s="3"/>
      <c r="F165" s="3"/>
      <c r="I165" s="3">
        <f>STDEV(E141:E169)</f>
        <v>0.08519327870696179</v>
      </c>
      <c r="K165" s="46">
        <v>203</v>
      </c>
      <c r="L165" s="3"/>
      <c r="N165" s="5"/>
      <c r="O165" s="3"/>
      <c r="P165" s="3"/>
      <c r="S165" s="3">
        <f>STDEV(O141:O169)</f>
        <v>0.16345464099861673</v>
      </c>
    </row>
    <row r="166" spans="1:19" ht="12.75">
      <c r="A166" s="46">
        <v>209</v>
      </c>
      <c r="B166" s="3"/>
      <c r="D166" s="5"/>
      <c r="E166" s="3"/>
      <c r="I166" t="s">
        <v>126</v>
      </c>
      <c r="K166" s="46">
        <v>209</v>
      </c>
      <c r="L166" s="3"/>
      <c r="N166" s="5"/>
      <c r="O166" s="3"/>
      <c r="S166" t="s">
        <v>126</v>
      </c>
    </row>
    <row r="167" spans="1:19" ht="12.75">
      <c r="A167" s="46">
        <v>210</v>
      </c>
      <c r="B167" s="3"/>
      <c r="D167" s="5"/>
      <c r="E167" s="3"/>
      <c r="F167" s="3"/>
      <c r="I167" s="3">
        <f>EXP(SQRT(LN(POWER(I165,2)/POWER(I163,2)+1)))</f>
        <v>1.189887624404412</v>
      </c>
      <c r="K167" s="46">
        <v>210</v>
      </c>
      <c r="L167" s="3"/>
      <c r="N167" s="5"/>
      <c r="O167" s="3"/>
      <c r="P167" s="3"/>
      <c r="S167" s="3">
        <f>EXP(SQRT(LN(POWER(S165,2)/POWER(S163,2)+1)))</f>
        <v>1.2679201713296777</v>
      </c>
    </row>
    <row r="168" spans="1:20" ht="12.75">
      <c r="A168" s="46">
        <v>211</v>
      </c>
      <c r="B168" s="3"/>
      <c r="D168" s="5"/>
      <c r="E168" s="3"/>
      <c r="F168" s="3"/>
      <c r="H168" t="s">
        <v>384</v>
      </c>
      <c r="I168" t="s">
        <v>384</v>
      </c>
      <c r="J168" s="85" t="s">
        <v>323</v>
      </c>
      <c r="K168" s="46">
        <v>211</v>
      </c>
      <c r="L168" s="3"/>
      <c r="N168" s="5"/>
      <c r="O168" s="3"/>
      <c r="P168" s="3"/>
      <c r="R168" t="s">
        <v>384</v>
      </c>
      <c r="S168" t="s">
        <v>384</v>
      </c>
      <c r="T168" s="85" t="s">
        <v>323</v>
      </c>
    </row>
    <row r="169" spans="1:20" ht="12.75">
      <c r="A169" s="46">
        <v>212</v>
      </c>
      <c r="B169" s="3"/>
      <c r="D169" s="5"/>
      <c r="E169" s="3"/>
      <c r="F169" s="3"/>
      <c r="H169" s="94">
        <f>STDEV(F141:F169)</f>
        <v>0.08113159834935962</v>
      </c>
      <c r="I169" s="40">
        <f>LOG10(I167)</f>
        <v>0.07550594760633327</v>
      </c>
      <c r="J169" s="86">
        <f>H169/I169</f>
        <v>1.0745060610636519</v>
      </c>
      <c r="K169" s="46">
        <v>212</v>
      </c>
      <c r="L169" s="3"/>
      <c r="N169" s="5"/>
      <c r="O169" s="3"/>
      <c r="P169" s="3"/>
      <c r="R169" s="94">
        <f>STDEV(P141:P169)</f>
        <v>0.11246504604748589</v>
      </c>
      <c r="S169" s="40">
        <f>LOG10(S167)</f>
        <v>0.10309191108326413</v>
      </c>
      <c r="T169" s="86">
        <f>R169/S169</f>
        <v>1.0909201785642655</v>
      </c>
    </row>
    <row r="170" spans="2:15" ht="12.75">
      <c r="B170" s="47" t="s">
        <v>598</v>
      </c>
      <c r="D170" s="47" t="s">
        <v>598</v>
      </c>
      <c r="E170" s="48" t="s">
        <v>598</v>
      </c>
      <c r="L170" s="47" t="s">
        <v>598</v>
      </c>
      <c r="N170" s="47" t="s">
        <v>598</v>
      </c>
      <c r="O170" s="48" t="s">
        <v>598</v>
      </c>
    </row>
    <row r="171" spans="2:15" ht="12.75">
      <c r="B171" s="3">
        <f>AVERAGE(B141:B169)</f>
        <v>2.2310526315789474</v>
      </c>
      <c r="D171" s="5">
        <f>AVERAGE(D141:D169)</f>
        <v>17.19157894736842</v>
      </c>
      <c r="E171" s="3">
        <f>AVERAGE(E141:E169)</f>
        <v>0.4863157894736842</v>
      </c>
      <c r="L171" s="3">
        <f>AVERAGE(L141:L169)</f>
        <v>2.2310526315789474</v>
      </c>
      <c r="N171" s="5">
        <f>AVERAGE(N141:N169)</f>
        <v>17.19157894736842</v>
      </c>
      <c r="O171" s="3">
        <f>AVERAGE(O141:O169)</f>
        <v>0.6789070435819916</v>
      </c>
    </row>
    <row r="172" spans="2:15" ht="12.75">
      <c r="B172" s="3"/>
      <c r="D172" s="5"/>
      <c r="E172" s="3"/>
      <c r="L172" s="3"/>
      <c r="N172" s="5"/>
      <c r="O172" s="3"/>
    </row>
    <row r="173" spans="1:16" ht="12.75">
      <c r="A173" t="s">
        <v>127</v>
      </c>
      <c r="B173" t="s">
        <v>222</v>
      </c>
      <c r="C173" t="s">
        <v>223</v>
      </c>
      <c r="D173" t="s">
        <v>224</v>
      </c>
      <c r="E173" t="s">
        <v>132</v>
      </c>
      <c r="F173" t="s">
        <v>225</v>
      </c>
      <c r="K173" t="s">
        <v>127</v>
      </c>
      <c r="L173" t="s">
        <v>222</v>
      </c>
      <c r="M173" t="s">
        <v>223</v>
      </c>
      <c r="N173" t="s">
        <v>224</v>
      </c>
      <c r="O173" t="s">
        <v>132</v>
      </c>
      <c r="P173" t="s">
        <v>225</v>
      </c>
    </row>
    <row r="174" spans="1:16" ht="12.75">
      <c r="A174" s="46">
        <v>1</v>
      </c>
      <c r="B174" s="3"/>
      <c r="D174" s="5"/>
      <c r="E174" s="3"/>
      <c r="F174" s="3"/>
      <c r="K174" s="46">
        <v>1</v>
      </c>
      <c r="L174" s="3"/>
      <c r="N174" s="5"/>
      <c r="O174" s="3"/>
      <c r="P174" s="3"/>
    </row>
    <row r="175" spans="1:16" ht="12.75">
      <c r="A175" s="46">
        <v>2</v>
      </c>
      <c r="B175" s="3"/>
      <c r="D175" s="5"/>
      <c r="E175" s="3"/>
      <c r="F175" s="3"/>
      <c r="K175" s="46">
        <v>2</v>
      </c>
      <c r="L175" s="3"/>
      <c r="N175" s="5"/>
      <c r="O175" s="3"/>
      <c r="P175" s="3"/>
    </row>
    <row r="176" spans="1:16" ht="12.75">
      <c r="A176" s="46">
        <v>3</v>
      </c>
      <c r="B176" s="3"/>
      <c r="D176" s="5"/>
      <c r="E176" s="3"/>
      <c r="F176" s="3"/>
      <c r="K176" s="46">
        <v>3</v>
      </c>
      <c r="L176" s="3"/>
      <c r="N176" s="5"/>
      <c r="O176" s="3"/>
      <c r="P176" s="3"/>
    </row>
    <row r="177" spans="1:16" ht="12.75">
      <c r="A177" s="46">
        <v>4</v>
      </c>
      <c r="B177" s="3"/>
      <c r="D177" s="5"/>
      <c r="E177" s="3"/>
      <c r="F177" s="3"/>
      <c r="K177" s="46">
        <v>4</v>
      </c>
      <c r="L177" s="3"/>
      <c r="N177" s="5"/>
      <c r="O177" s="3"/>
      <c r="P177" s="3"/>
    </row>
    <row r="178" spans="1:16" ht="12.75">
      <c r="A178" s="46">
        <v>5</v>
      </c>
      <c r="B178" s="3"/>
      <c r="D178" s="5"/>
      <c r="E178" s="3"/>
      <c r="F178" s="3"/>
      <c r="K178" s="46">
        <v>5</v>
      </c>
      <c r="L178" s="3"/>
      <c r="N178" s="5"/>
      <c r="O178" s="3"/>
      <c r="P178" s="3"/>
    </row>
    <row r="179" spans="1:16" ht="12.75">
      <c r="A179" s="46">
        <v>6</v>
      </c>
      <c r="B179" s="3"/>
      <c r="D179" s="5"/>
      <c r="E179" s="3"/>
      <c r="F179" s="3"/>
      <c r="K179" s="46">
        <v>6</v>
      </c>
      <c r="L179" s="3"/>
      <c r="N179" s="5"/>
      <c r="O179" s="3"/>
      <c r="P179" s="3"/>
    </row>
    <row r="180" spans="1:16" ht="12.75">
      <c r="A180" s="46">
        <v>7</v>
      </c>
      <c r="B180" s="3"/>
      <c r="D180" s="5"/>
      <c r="E180" s="3"/>
      <c r="F180" s="3"/>
      <c r="K180" s="46">
        <v>7</v>
      </c>
      <c r="L180" s="3"/>
      <c r="N180" s="5"/>
      <c r="O180" s="3"/>
      <c r="P180" s="3"/>
    </row>
    <row r="181" spans="1:16" ht="12.75">
      <c r="A181" s="46">
        <v>8</v>
      </c>
      <c r="B181" s="3"/>
      <c r="D181" s="5"/>
      <c r="E181" s="3"/>
      <c r="F181" s="3"/>
      <c r="K181" s="46">
        <v>8</v>
      </c>
      <c r="L181" s="3"/>
      <c r="N181" s="5"/>
      <c r="O181" s="3"/>
      <c r="P181" s="3"/>
    </row>
    <row r="182" spans="1:16" ht="12.75">
      <c r="A182" s="46">
        <v>9</v>
      </c>
      <c r="B182" s="3"/>
      <c r="D182" s="5"/>
      <c r="E182" s="3"/>
      <c r="F182" s="3"/>
      <c r="K182" s="46">
        <v>9</v>
      </c>
      <c r="L182" s="3"/>
      <c r="N182" s="5"/>
      <c r="O182" s="3"/>
      <c r="P182" s="3"/>
    </row>
    <row r="183" spans="1:16" ht="12.75">
      <c r="A183" s="46">
        <v>10</v>
      </c>
      <c r="B183" s="3"/>
      <c r="D183" s="5"/>
      <c r="E183" s="3"/>
      <c r="F183" s="3"/>
      <c r="K183" s="46">
        <v>10</v>
      </c>
      <c r="L183" s="3"/>
      <c r="N183" s="5"/>
      <c r="O183" s="3"/>
      <c r="P183" s="3"/>
    </row>
    <row r="184" spans="1:16" ht="12.75">
      <c r="A184" s="46">
        <v>11</v>
      </c>
      <c r="B184" s="3"/>
      <c r="D184" s="5"/>
      <c r="E184" s="3"/>
      <c r="F184" s="3"/>
      <c r="K184" s="46">
        <v>11</v>
      </c>
      <c r="L184" s="3"/>
      <c r="N184" s="5"/>
      <c r="O184" s="3"/>
      <c r="P184" s="3"/>
    </row>
    <row r="185" spans="1:16" ht="12.75">
      <c r="A185" s="46">
        <v>12</v>
      </c>
      <c r="B185" s="3"/>
      <c r="D185" s="5"/>
      <c r="E185" s="3"/>
      <c r="F185" s="3"/>
      <c r="K185" s="46">
        <v>12</v>
      </c>
      <c r="L185" s="3"/>
      <c r="N185" s="5"/>
      <c r="O185" s="3"/>
      <c r="P185" s="3"/>
    </row>
    <row r="186" spans="1:16" ht="12.75">
      <c r="A186" s="46">
        <v>13</v>
      </c>
      <c r="B186" s="3"/>
      <c r="D186" s="5"/>
      <c r="E186" s="3"/>
      <c r="F186" s="3"/>
      <c r="K186" s="46">
        <v>13</v>
      </c>
      <c r="L186" s="3"/>
      <c r="N186" s="5"/>
      <c r="O186" s="3"/>
      <c r="P186" s="3"/>
    </row>
    <row r="187" spans="1:16" ht="12.75">
      <c r="A187" s="46">
        <v>14</v>
      </c>
      <c r="B187" s="3"/>
      <c r="D187" s="5"/>
      <c r="E187" s="3"/>
      <c r="F187" s="3"/>
      <c r="K187" s="46">
        <v>14</v>
      </c>
      <c r="L187" s="3"/>
      <c r="N187" s="5"/>
      <c r="O187" s="3"/>
      <c r="P187" s="3"/>
    </row>
    <row r="188" spans="1:16" ht="12.75">
      <c r="A188" s="46">
        <v>15</v>
      </c>
      <c r="B188" s="3"/>
      <c r="D188" s="5"/>
      <c r="E188" s="3"/>
      <c r="F188" s="3"/>
      <c r="K188" s="46">
        <v>15</v>
      </c>
      <c r="L188" s="3"/>
      <c r="N188" s="5"/>
      <c r="O188" s="3"/>
      <c r="P188" s="3"/>
    </row>
    <row r="189" spans="1:16" ht="12.75">
      <c r="A189" s="46">
        <v>16</v>
      </c>
      <c r="B189" s="3"/>
      <c r="D189" s="5"/>
      <c r="E189" s="3"/>
      <c r="F189" s="3"/>
      <c r="K189" s="46">
        <v>16</v>
      </c>
      <c r="L189" s="3"/>
      <c r="N189" s="5"/>
      <c r="O189" s="3"/>
      <c r="P189" s="3"/>
    </row>
    <row r="190" spans="1:16" ht="12.75">
      <c r="A190" s="46">
        <v>17</v>
      </c>
      <c r="B190" s="3">
        <v>2.78</v>
      </c>
      <c r="C190">
        <v>303</v>
      </c>
      <c r="D190" s="5">
        <f>C190/1000*60</f>
        <v>18.18</v>
      </c>
      <c r="E190" s="3">
        <v>0.52</v>
      </c>
      <c r="F190" s="3">
        <f>LOG10(E190)</f>
        <v>-0.2839966563652008</v>
      </c>
      <c r="K190" s="46">
        <v>17</v>
      </c>
      <c r="L190" s="3">
        <v>2.78</v>
      </c>
      <c r="M190">
        <v>303</v>
      </c>
      <c r="N190" s="5">
        <f>M190/1000*60</f>
        <v>18.18</v>
      </c>
      <c r="O190" s="3">
        <f>-LN(1-E190)</f>
        <v>0.7339691750802004</v>
      </c>
      <c r="P190" s="3">
        <f>LOG10(O190)</f>
        <v>-0.1343221790126526</v>
      </c>
    </row>
    <row r="191" spans="1:16" ht="12.75">
      <c r="A191" s="46">
        <v>201</v>
      </c>
      <c r="B191" s="3">
        <v>3.21</v>
      </c>
      <c r="C191">
        <v>286</v>
      </c>
      <c r="D191" s="5">
        <f>C191/1000*60</f>
        <v>17.16</v>
      </c>
      <c r="E191" s="3">
        <v>0.62</v>
      </c>
      <c r="F191" s="3">
        <f>LOG10(E191)</f>
        <v>-0.2076083105017461</v>
      </c>
      <c r="K191" s="46">
        <v>201</v>
      </c>
      <c r="L191" s="3">
        <v>3.21</v>
      </c>
      <c r="M191">
        <v>286</v>
      </c>
      <c r="N191" s="5">
        <f>M191/1000*60</f>
        <v>17.16</v>
      </c>
      <c r="O191" s="3">
        <f>-LN(1-E191)</f>
        <v>0.9675840262617055</v>
      </c>
      <c r="P191" s="3">
        <f>LOG10(O191)</f>
        <v>-0.014311309970823463</v>
      </c>
    </row>
    <row r="192" spans="1:16" ht="12.75">
      <c r="A192" s="46">
        <v>204</v>
      </c>
      <c r="B192" s="3"/>
      <c r="D192" s="5"/>
      <c r="E192" s="3"/>
      <c r="F192" s="3"/>
      <c r="K192" s="46">
        <v>204</v>
      </c>
      <c r="L192" s="3"/>
      <c r="N192" s="5"/>
      <c r="O192" s="3"/>
      <c r="P192" s="3"/>
    </row>
    <row r="193" spans="1:19" ht="12.75">
      <c r="A193" s="46">
        <v>205</v>
      </c>
      <c r="B193" s="3"/>
      <c r="D193" s="5"/>
      <c r="E193" s="3"/>
      <c r="F193" s="3"/>
      <c r="I193" s="47" t="s">
        <v>519</v>
      </c>
      <c r="K193" s="46">
        <v>205</v>
      </c>
      <c r="L193" s="3"/>
      <c r="N193" s="5"/>
      <c r="O193" s="3"/>
      <c r="P193" s="3"/>
      <c r="S193" s="47" t="s">
        <v>519</v>
      </c>
    </row>
    <row r="194" spans="1:19" ht="12.75">
      <c r="A194" s="46">
        <v>206</v>
      </c>
      <c r="B194" s="3">
        <v>3.24</v>
      </c>
      <c r="C194">
        <v>228</v>
      </c>
      <c r="D194" s="5">
        <f>C194/1000*60</f>
        <v>13.68</v>
      </c>
      <c r="E194" s="3">
        <v>0.75</v>
      </c>
      <c r="F194" s="3">
        <f>LOG10(E194)</f>
        <v>-0.12493873660829993</v>
      </c>
      <c r="I194">
        <f>COUNT(B174:B202)</f>
        <v>5</v>
      </c>
      <c r="K194" s="46">
        <v>206</v>
      </c>
      <c r="L194" s="3">
        <v>3.24</v>
      </c>
      <c r="M194">
        <v>228</v>
      </c>
      <c r="N194" s="5">
        <f>M194/1000*60</f>
        <v>13.68</v>
      </c>
      <c r="O194" s="3">
        <f>-LN(1-E194)</f>
        <v>1.3862943611198906</v>
      </c>
      <c r="P194" s="3">
        <f>LOG10(O194)</f>
        <v>0.1418554567091196</v>
      </c>
      <c r="S194">
        <f>COUNT(L174:L202)</f>
        <v>5</v>
      </c>
    </row>
    <row r="195" spans="1:19" ht="12.75">
      <c r="A195" s="46">
        <v>207</v>
      </c>
      <c r="B195" s="3">
        <v>3.18</v>
      </c>
      <c r="C195">
        <v>282</v>
      </c>
      <c r="D195" s="5">
        <f>C195/1000*60</f>
        <v>16.919999999999998</v>
      </c>
      <c r="E195" s="3">
        <v>0.83</v>
      </c>
      <c r="F195" s="3">
        <f>LOG10(E195)</f>
        <v>-0.0809219076239261</v>
      </c>
      <c r="I195" s="48" t="s">
        <v>598</v>
      </c>
      <c r="K195" s="46">
        <v>207</v>
      </c>
      <c r="L195" s="3">
        <v>3.18</v>
      </c>
      <c r="M195">
        <v>282</v>
      </c>
      <c r="N195" s="5">
        <f>M195/1000*60</f>
        <v>16.919999999999998</v>
      </c>
      <c r="O195" s="3">
        <f>-LN(1-E195)</f>
        <v>1.771956841931875</v>
      </c>
      <c r="P195" s="3">
        <f>LOG10(O195)</f>
        <v>0.24845313993303417</v>
      </c>
      <c r="S195" s="48" t="s">
        <v>598</v>
      </c>
    </row>
    <row r="196" spans="1:19" ht="12.75">
      <c r="A196" s="46">
        <v>208</v>
      </c>
      <c r="B196" s="3">
        <v>3.18</v>
      </c>
      <c r="C196">
        <v>259</v>
      </c>
      <c r="D196" s="5">
        <f>C196/1000*60</f>
        <v>15.540000000000001</v>
      </c>
      <c r="E196" s="3">
        <v>0.83</v>
      </c>
      <c r="F196" s="3">
        <f>LOG10(E196)</f>
        <v>-0.0809219076239261</v>
      </c>
      <c r="I196" s="3">
        <f>AVERAGE(E174:E202)</f>
        <v>0.7100000000000001</v>
      </c>
      <c r="K196" s="46">
        <v>208</v>
      </c>
      <c r="L196" s="3">
        <v>3.18</v>
      </c>
      <c r="M196">
        <v>259</v>
      </c>
      <c r="N196" s="5">
        <f>M196/1000*60</f>
        <v>15.540000000000001</v>
      </c>
      <c r="O196" s="3">
        <f>-LN(1-E196)</f>
        <v>1.771956841931875</v>
      </c>
      <c r="P196" s="3">
        <f>LOG10(O196)</f>
        <v>0.24845313993303417</v>
      </c>
      <c r="S196" s="3">
        <f>AVERAGE(O174:O202)</f>
        <v>1.3263522492651092</v>
      </c>
    </row>
    <row r="197" spans="1:19" ht="12.75">
      <c r="A197" s="46">
        <v>202</v>
      </c>
      <c r="B197" s="3"/>
      <c r="D197" s="5"/>
      <c r="E197" s="3"/>
      <c r="F197" s="3"/>
      <c r="I197" s="47" t="s">
        <v>431</v>
      </c>
      <c r="K197" s="46">
        <v>202</v>
      </c>
      <c r="L197" s="3"/>
      <c r="N197" s="5"/>
      <c r="O197" s="3"/>
      <c r="P197" s="3"/>
      <c r="S197" s="47" t="s">
        <v>431</v>
      </c>
    </row>
    <row r="198" spans="1:19" ht="12.75">
      <c r="A198" s="46">
        <v>203</v>
      </c>
      <c r="B198" s="3"/>
      <c r="D198" s="5"/>
      <c r="E198" s="3"/>
      <c r="F198" s="3"/>
      <c r="I198" s="3">
        <f>STDEV(E174:E202)</f>
        <v>0.13656500283747602</v>
      </c>
      <c r="K198" s="46">
        <v>203</v>
      </c>
      <c r="L198" s="3"/>
      <c r="N198" s="5"/>
      <c r="O198" s="3"/>
      <c r="P198" s="3"/>
      <c r="S198" s="3">
        <f>STDEV(O174:O202)</f>
        <v>0.46913545677203494</v>
      </c>
    </row>
    <row r="199" spans="1:19" ht="12.75">
      <c r="A199" s="46">
        <v>209</v>
      </c>
      <c r="B199" s="3"/>
      <c r="D199" s="5"/>
      <c r="E199" s="3"/>
      <c r="I199" t="s">
        <v>126</v>
      </c>
      <c r="K199" s="46">
        <v>209</v>
      </c>
      <c r="L199" s="3"/>
      <c r="N199" s="5"/>
      <c r="O199" s="3"/>
      <c r="S199" t="s">
        <v>126</v>
      </c>
    </row>
    <row r="200" spans="1:19" ht="12.75">
      <c r="A200" s="46">
        <v>210</v>
      </c>
      <c r="B200" s="3"/>
      <c r="D200" s="5"/>
      <c r="E200" s="3"/>
      <c r="F200" s="3"/>
      <c r="I200" s="3">
        <f>EXP(SQRT(LN(POWER(I198,2)/POWER(I196,2)+1)))</f>
        <v>1.209976372018063</v>
      </c>
      <c r="K200" s="46">
        <v>210</v>
      </c>
      <c r="L200" s="3"/>
      <c r="N200" s="5"/>
      <c r="O200" s="3"/>
      <c r="P200" s="3"/>
      <c r="S200" s="3">
        <f>EXP(SQRT(LN(POWER(S198,2)/POWER(S196,2)+1)))</f>
        <v>1.4096378127986107</v>
      </c>
    </row>
    <row r="201" spans="1:20" ht="12.75">
      <c r="A201" s="46">
        <v>211</v>
      </c>
      <c r="B201" s="3"/>
      <c r="D201" s="5"/>
      <c r="E201" s="3"/>
      <c r="F201" s="3"/>
      <c r="H201" t="s">
        <v>384</v>
      </c>
      <c r="I201" t="s">
        <v>384</v>
      </c>
      <c r="J201" s="85" t="s">
        <v>323</v>
      </c>
      <c r="K201" s="46">
        <v>211</v>
      </c>
      <c r="L201" s="3"/>
      <c r="N201" s="5"/>
      <c r="O201" s="3"/>
      <c r="P201" s="3"/>
      <c r="R201" t="s">
        <v>384</v>
      </c>
      <c r="S201" t="s">
        <v>384</v>
      </c>
      <c r="T201" s="85" t="s">
        <v>323</v>
      </c>
    </row>
    <row r="202" spans="1:20" ht="12.75">
      <c r="A202" s="46">
        <v>212</v>
      </c>
      <c r="B202" s="3"/>
      <c r="D202" s="5"/>
      <c r="E202" s="3"/>
      <c r="F202" s="3"/>
      <c r="H202" s="94">
        <f>STDEV(F174:F202)</f>
        <v>0.08843681887015634</v>
      </c>
      <c r="I202" s="40">
        <f>LOG10(I200)</f>
        <v>0.08277688965333888</v>
      </c>
      <c r="J202" s="86">
        <f>H202/I202</f>
        <v>1.0683757174317694</v>
      </c>
      <c r="K202" s="46">
        <v>212</v>
      </c>
      <c r="L202" s="3"/>
      <c r="N202" s="5"/>
      <c r="O202" s="3"/>
      <c r="P202" s="3"/>
      <c r="R202" s="94">
        <f>STDEV(P174:P202)</f>
        <v>0.16865869206302725</v>
      </c>
      <c r="S202" s="40">
        <f>LOG10(S200)</f>
        <v>0.14910754094703457</v>
      </c>
      <c r="T202" s="86">
        <f>R202/S202</f>
        <v>1.1311211424440133</v>
      </c>
    </row>
    <row r="203" spans="2:15" ht="12.75">
      <c r="B203" s="47" t="s">
        <v>598</v>
      </c>
      <c r="D203" s="47" t="s">
        <v>598</v>
      </c>
      <c r="E203" s="48" t="s">
        <v>598</v>
      </c>
      <c r="L203" s="47" t="s">
        <v>598</v>
      </c>
      <c r="N203" s="47" t="s">
        <v>598</v>
      </c>
      <c r="O203" s="48" t="s">
        <v>598</v>
      </c>
    </row>
    <row r="204" spans="2:15" ht="12.75">
      <c r="B204" s="3">
        <f>AVERAGE(B174:B202)</f>
        <v>3.118</v>
      </c>
      <c r="D204" s="5">
        <f>AVERAGE(D174:D202)</f>
        <v>16.296</v>
      </c>
      <c r="E204" s="3">
        <f>AVERAGE(E174:E202)</f>
        <v>0.7100000000000001</v>
      </c>
      <c r="L204" s="3">
        <f>AVERAGE(L174:L202)</f>
        <v>3.118</v>
      </c>
      <c r="N204" s="5">
        <f>AVERAGE(N174:N202)</f>
        <v>16.296</v>
      </c>
      <c r="O204" s="3">
        <f>AVERAGE(O174:O202)</f>
        <v>1.3263522492651092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16" sqref="F16"/>
    </sheetView>
  </sheetViews>
  <sheetFormatPr defaultColWidth="11.00390625" defaultRowHeight="12"/>
  <cols>
    <col min="9" max="10" width="12.625" style="0" bestFit="1" customWidth="1"/>
  </cols>
  <sheetData>
    <row r="1" ht="18.75">
      <c r="A1" s="64" t="s">
        <v>237</v>
      </c>
    </row>
    <row r="2" ht="12.75">
      <c r="A2" s="65" t="s">
        <v>13</v>
      </c>
    </row>
    <row r="3" ht="12.75">
      <c r="A3" s="65"/>
    </row>
    <row r="4" ht="12.75">
      <c r="A4" s="66" t="s">
        <v>46</v>
      </c>
    </row>
    <row r="5" spans="3:8" ht="12.75">
      <c r="C5" t="s">
        <v>14</v>
      </c>
      <c r="D5" t="s">
        <v>598</v>
      </c>
      <c r="E5" t="s">
        <v>236</v>
      </c>
      <c r="F5" t="s">
        <v>431</v>
      </c>
      <c r="G5" t="s">
        <v>384</v>
      </c>
      <c r="H5" t="s">
        <v>156</v>
      </c>
    </row>
    <row r="6" spans="3:11" ht="12.75">
      <c r="C6" t="s">
        <v>15</v>
      </c>
      <c r="D6">
        <v>0.07</v>
      </c>
      <c r="E6">
        <v>0.1</v>
      </c>
      <c r="F6" s="3">
        <f>D6*E6</f>
        <v>0.007000000000000001</v>
      </c>
      <c r="G6" s="13">
        <f>LOG(EXP(SQRT(LN(POWER(F6,2)/POWER(D6,2)+1))))</f>
        <v>0.043321458747865985</v>
      </c>
      <c r="H6">
        <f>LOG(D6/SQRT(POWER(F6,2)/POWER(D6,2)+1))</f>
        <v>-1.1570626468770646</v>
      </c>
      <c r="I6" s="2"/>
      <c r="J6" s="3"/>
      <c r="K6" s="13"/>
    </row>
    <row r="7" spans="3:11" ht="12.75">
      <c r="C7" t="s">
        <v>45</v>
      </c>
      <c r="D7">
        <v>0.24</v>
      </c>
      <c r="E7">
        <v>0.14</v>
      </c>
      <c r="F7" s="3">
        <f>D7*E7</f>
        <v>0.033600000000000005</v>
      </c>
      <c r="G7" s="13">
        <f>LOG(EXP(SQRT(LN(POWER(F7,2)/POWER(D7,2)+1))))</f>
        <v>0.060506423307258216</v>
      </c>
      <c r="H7">
        <f>LOG(D7/SQRT(POWER(F7,2)/POWER(D7,2)+1))</f>
        <v>-0.624003671687009</v>
      </c>
      <c r="I7" s="2"/>
      <c r="J7" s="3"/>
      <c r="K7" s="13"/>
    </row>
    <row r="8" spans="6:11" ht="12.75">
      <c r="F8" s="3"/>
      <c r="K8" s="13"/>
    </row>
    <row r="9" spans="1:11" ht="12.75">
      <c r="A9" s="66" t="s">
        <v>47</v>
      </c>
      <c r="F9" s="3"/>
      <c r="K9" s="13"/>
    </row>
    <row r="10" spans="3:11" ht="12.75">
      <c r="C10" t="s">
        <v>14</v>
      </c>
      <c r="D10" t="s">
        <v>598</v>
      </c>
      <c r="E10" t="s">
        <v>236</v>
      </c>
      <c r="F10" s="3" t="s">
        <v>431</v>
      </c>
      <c r="G10" t="s">
        <v>384</v>
      </c>
      <c r="K10" s="13"/>
    </row>
    <row r="11" spans="3:11" ht="12.75">
      <c r="C11" t="s">
        <v>15</v>
      </c>
      <c r="D11" s="3">
        <v>0.19</v>
      </c>
      <c r="E11">
        <v>0.07</v>
      </c>
      <c r="F11" s="3">
        <f>D11*E11</f>
        <v>0.013300000000000001</v>
      </c>
      <c r="G11" s="13">
        <f>LOG10(EXP(SQRT(LN(POWER(F11,2)/POWER(D11,2)+1))))</f>
        <v>0.030363471499761763</v>
      </c>
      <c r="H11">
        <f>LOG(D11/SQRT(POWER(F11,2)/POWER(D11,2)+1))</f>
        <v>-0.722307822159752</v>
      </c>
      <c r="I11" s="2"/>
      <c r="J11" s="3"/>
      <c r="K11" s="13"/>
    </row>
    <row r="12" spans="3:11" ht="12.75">
      <c r="C12" t="s">
        <v>45</v>
      </c>
      <c r="D12" s="3">
        <v>0.29</v>
      </c>
      <c r="E12">
        <v>0.08</v>
      </c>
      <c r="F12" s="3">
        <f>D12*E12</f>
        <v>0.0232</v>
      </c>
      <c r="G12" s="13">
        <f>LOG10(EXP(SQRT(LN(POWER(F12,2)/POWER(D12,2)+1))))</f>
        <v>0.03468816074332139</v>
      </c>
      <c r="H12">
        <f>LOG(D12/SQRT(POWER(F12,2)/POWER(D12,2)+1))</f>
        <v>-0.5389873161516407</v>
      </c>
      <c r="I12" s="2"/>
      <c r="J12" s="3"/>
      <c r="K12" s="13"/>
    </row>
    <row r="13" spans="6:11" ht="12.75">
      <c r="F13" s="3"/>
      <c r="K13" s="13"/>
    </row>
    <row r="14" spans="1:11" ht="12.75">
      <c r="A14" s="66" t="s">
        <v>48</v>
      </c>
      <c r="F14" s="3"/>
      <c r="K14" s="13"/>
    </row>
    <row r="15" spans="3:11" ht="12.75">
      <c r="C15" t="s">
        <v>14</v>
      </c>
      <c r="D15" t="s">
        <v>598</v>
      </c>
      <c r="E15" t="s">
        <v>236</v>
      </c>
      <c r="F15" s="3" t="s">
        <v>431</v>
      </c>
      <c r="G15" t="s">
        <v>384</v>
      </c>
      <c r="K15" s="13"/>
    </row>
    <row r="16" spans="3:11" ht="12.75">
      <c r="C16" t="s">
        <v>452</v>
      </c>
      <c r="D16" s="3">
        <v>0.42</v>
      </c>
      <c r="E16">
        <v>0.06</v>
      </c>
      <c r="F16" s="3">
        <f>D16*E16</f>
        <v>0.025199999999999997</v>
      </c>
      <c r="G16" s="13">
        <f>LOG10(EXP(SQRT(LN(POWER(F16,2)/POWER(D16,2)+1))))</f>
        <v>0.02603426263286816</v>
      </c>
      <c r="H16">
        <f>LOG(D16/SQRT(POWER(F16,2)/POWER(D16,2)+1))</f>
        <v>-0.3775310359233861</v>
      </c>
      <c r="I16" s="2"/>
      <c r="J16" s="3"/>
      <c r="K16" s="13"/>
    </row>
    <row r="17" spans="3:11" ht="12.75">
      <c r="C17" t="s">
        <v>15</v>
      </c>
      <c r="D17" s="3">
        <v>0.53</v>
      </c>
      <c r="E17">
        <v>0.06</v>
      </c>
      <c r="F17" s="3">
        <f>D17*E17</f>
        <v>0.0318</v>
      </c>
      <c r="G17" s="13">
        <f>LOG10(EXP(SQRT(LN(POWER(F17,2)/POWER(D17,2)+1))))</f>
        <v>0.02603426263286816</v>
      </c>
      <c r="H17">
        <f>LOG(D17/SQRT(POWER(F17,2)/POWER(D17,2)+1))</f>
        <v>-0.27650445672049745</v>
      </c>
      <c r="I17" s="2"/>
      <c r="J17" s="3"/>
      <c r="K17" s="13"/>
    </row>
    <row r="18" spans="3:11" ht="12.75">
      <c r="C18" t="s">
        <v>45</v>
      </c>
      <c r="D18" s="3">
        <v>0.31</v>
      </c>
      <c r="E18">
        <v>0.09</v>
      </c>
      <c r="F18" s="3">
        <f>D18*E18</f>
        <v>0.027899999999999998</v>
      </c>
      <c r="G18" s="13">
        <f>LOG10(EXP(SQRT(LN(POWER(F18,2)/POWER(D18,2)+1))))</f>
        <v>0.03900769859141267</v>
      </c>
      <c r="H18">
        <f>LOG(D18/SQRT(POWER(F18,2)/POWER(D18,2)+1))</f>
        <v>-0.5103901135369957</v>
      </c>
      <c r="I18" s="2"/>
      <c r="J18" s="3"/>
      <c r="K18" s="13"/>
    </row>
    <row r="20" ht="12.75">
      <c r="A20" s="65" t="s">
        <v>546</v>
      </c>
    </row>
    <row r="21" ht="18.75">
      <c r="A21" s="35" t="s">
        <v>233</v>
      </c>
    </row>
    <row r="22" ht="18.75">
      <c r="A22" s="35" t="s">
        <v>545</v>
      </c>
    </row>
    <row r="23" ht="12.75">
      <c r="A23" s="67" t="s">
        <v>235</v>
      </c>
    </row>
    <row r="25" ht="12.75">
      <c r="A25" s="66" t="s">
        <v>46</v>
      </c>
    </row>
    <row r="26" spans="3:7" ht="12.75">
      <c r="C26" t="s">
        <v>14</v>
      </c>
      <c r="D26" t="s">
        <v>598</v>
      </c>
      <c r="E26" t="s">
        <v>236</v>
      </c>
      <c r="F26" t="s">
        <v>431</v>
      </c>
      <c r="G26" t="s">
        <v>384</v>
      </c>
    </row>
    <row r="27" spans="3:8" ht="12.75">
      <c r="C27" t="s">
        <v>452</v>
      </c>
      <c r="D27">
        <v>0.05</v>
      </c>
      <c r="E27">
        <v>0.04</v>
      </c>
      <c r="F27" s="3">
        <f>D27*E27</f>
        <v>0.002</v>
      </c>
      <c r="G27" s="13">
        <f>LOG10(EXP(SQRT(LN(POWER(F27,2)/POWER(D27,2)+1))))</f>
        <v>0.017364836580158964</v>
      </c>
      <c r="H27">
        <f>LOG(D27/SQRT(POWER(F27,2)/POWER(D27,2)+1))</f>
        <v>-1.3013771535971583</v>
      </c>
    </row>
    <row r="28" spans="3:8" ht="12.75">
      <c r="C28" t="s">
        <v>15</v>
      </c>
      <c r="D28">
        <v>0.1</v>
      </c>
      <c r="E28">
        <v>0.07</v>
      </c>
      <c r="F28" s="3">
        <f>D28*E28</f>
        <v>0.007000000000000001</v>
      </c>
      <c r="G28" s="13">
        <f>LOG10(EXP(SQRT(LN(POWER(F28,2)/POWER(D28,2)+1))))</f>
        <v>0.030363471499761763</v>
      </c>
      <c r="H28">
        <f>LOG(D28/SQRT(POWER(F28,2)/POWER(D28,2)+1))</f>
        <v>-1.001061423112581</v>
      </c>
    </row>
    <row r="29" spans="3:8" ht="12.75">
      <c r="C29" t="s">
        <v>45</v>
      </c>
      <c r="D29">
        <v>0.22</v>
      </c>
      <c r="E29">
        <v>0.08</v>
      </c>
      <c r="F29" s="3">
        <f>D29*E29</f>
        <v>0.0176</v>
      </c>
      <c r="G29" s="13">
        <f>LOG10(EXP(SQRT(LN(POWER(F29,2)/POWER(D29,2)+1))))</f>
        <v>0.03468816074332139</v>
      </c>
      <c r="H29">
        <f>LOG(D29/SQRT(POWER(F29,2)/POWER(D29,2)+1))</f>
        <v>-0.6589626332283905</v>
      </c>
    </row>
    <row r="31" ht="12.75">
      <c r="A31" s="66" t="s">
        <v>47</v>
      </c>
    </row>
    <row r="32" spans="3:7" ht="12.75">
      <c r="C32" t="s">
        <v>14</v>
      </c>
      <c r="D32" t="s">
        <v>598</v>
      </c>
      <c r="E32" t="s">
        <v>236</v>
      </c>
      <c r="F32" t="s">
        <v>431</v>
      </c>
      <c r="G32" t="s">
        <v>384</v>
      </c>
    </row>
    <row r="33" spans="3:8" ht="12.75">
      <c r="C33" t="s">
        <v>452</v>
      </c>
      <c r="D33">
        <v>0.11</v>
      </c>
      <c r="E33">
        <v>0.06</v>
      </c>
      <c r="F33" s="3">
        <f>D33*E33</f>
        <v>0.0066</v>
      </c>
      <c r="G33" s="13">
        <f>LOG10(EXP(SQRT(LN(POWER(F33,2)/POWER(D33,2)+1))))</f>
        <v>0.02603426263286816</v>
      </c>
      <c r="H33">
        <f>LOG(D33/SQRT(POWER(F33,2)/POWER(D33,2)+1))</f>
        <v>-0.9593876411630615</v>
      </c>
    </row>
    <row r="34" spans="3:8" ht="12.75">
      <c r="C34" t="s">
        <v>15</v>
      </c>
      <c r="D34">
        <v>0.41</v>
      </c>
      <c r="E34">
        <v>0.11</v>
      </c>
      <c r="F34" s="3">
        <f>D34*E34</f>
        <v>0.045099999999999994</v>
      </c>
      <c r="G34" s="13">
        <f>LOG10(EXP(SQRT(LN(POWER(F34,2)/POWER(D34,2)+1))))</f>
        <v>0.04762882102807852</v>
      </c>
      <c r="H34">
        <f>LOG(D34/SQRT(POWER(F34,2)/POWER(D34,2)+1))</f>
        <v>-0.38982785570933254</v>
      </c>
    </row>
    <row r="35" spans="3:8" ht="12.75">
      <c r="C35" t="s">
        <v>45</v>
      </c>
      <c r="D35">
        <v>0.48</v>
      </c>
      <c r="E35">
        <v>0.06</v>
      </c>
      <c r="F35" s="3">
        <f>D35*E35</f>
        <v>0.0288</v>
      </c>
      <c r="G35" s="13">
        <f>LOG10(EXP(SQRT(LN(POWER(F35,2)/POWER(D35,2)+1))))</f>
        <v>0.02603426263286816</v>
      </c>
      <c r="H35">
        <f>LOG(D35/SQRT(POWER(F35,2)/POWER(D35,2)+1))</f>
        <v>-0.3195390889456993</v>
      </c>
    </row>
    <row r="37" ht="12.75">
      <c r="A37" s="66" t="s">
        <v>48</v>
      </c>
    </row>
    <row r="38" spans="3:7" ht="12.75">
      <c r="C38" t="s">
        <v>14</v>
      </c>
      <c r="D38" t="s">
        <v>598</v>
      </c>
      <c r="E38" t="s">
        <v>236</v>
      </c>
      <c r="F38" t="s">
        <v>431</v>
      </c>
      <c r="G38" t="s">
        <v>384</v>
      </c>
    </row>
    <row r="39" spans="3:4" ht="12.75">
      <c r="C39" t="s">
        <v>452</v>
      </c>
      <c r="D39">
        <v>0.38</v>
      </c>
    </row>
    <row r="40" spans="3:8" ht="12.75">
      <c r="C40" t="s">
        <v>15</v>
      </c>
      <c r="D40">
        <v>0.3</v>
      </c>
      <c r="E40">
        <v>0.15</v>
      </c>
      <c r="F40" s="3">
        <f>D40*E40</f>
        <v>0.045</v>
      </c>
      <c r="G40" s="13">
        <f>LOG10(EXP(SQRT(LN(POWER(F40,2)/POWER(D40,2)+1))))</f>
        <v>0.06478213573770263</v>
      </c>
      <c r="H40">
        <f>LOG(D40/SQRT(POWER(F40,2)/POWER(D40,2)+1))</f>
        <v>-0.5277104036200274</v>
      </c>
    </row>
    <row r="41" spans="3:8" ht="12.75">
      <c r="C41" t="s">
        <v>45</v>
      </c>
      <c r="D41">
        <v>0.1</v>
      </c>
      <c r="E41">
        <v>0.06</v>
      </c>
      <c r="F41" s="3">
        <f>D41*E41</f>
        <v>0.006</v>
      </c>
      <c r="G41" s="13">
        <f>LOG10(EXP(SQRT(LN(POWER(F41,2)/POWER(D41,2)+1))))</f>
        <v>0.02603426263286816</v>
      </c>
      <c r="H41">
        <f>LOG(D41/SQRT(POWER(F41,2)/POWER(D41,2)+1))</f>
        <v>-1.0007803263212864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H1">
      <selection activeCell="X34" sqref="X34"/>
    </sheetView>
  </sheetViews>
  <sheetFormatPr defaultColWidth="11.00390625" defaultRowHeight="12"/>
  <sheetData>
    <row r="1" ht="18.75">
      <c r="A1" s="35" t="s">
        <v>261</v>
      </c>
    </row>
    <row r="2" spans="1:9" ht="18.75">
      <c r="A2" s="78" t="s">
        <v>183</v>
      </c>
      <c r="I2" s="78" t="s">
        <v>529</v>
      </c>
    </row>
    <row r="3" spans="1:17" ht="12.75">
      <c r="A3" s="14" t="s">
        <v>309</v>
      </c>
      <c r="I3" s="14" t="s">
        <v>309</v>
      </c>
      <c r="Q3" s="14" t="s">
        <v>309</v>
      </c>
    </row>
    <row r="4" spans="1:19" ht="12.75">
      <c r="A4" s="38" t="s">
        <v>262</v>
      </c>
      <c r="B4" t="s">
        <v>132</v>
      </c>
      <c r="D4" t="s">
        <v>312</v>
      </c>
      <c r="I4" s="38" t="s">
        <v>262</v>
      </c>
      <c r="J4" t="s">
        <v>132</v>
      </c>
      <c r="K4" t="s">
        <v>312</v>
      </c>
      <c r="Q4" s="38"/>
      <c r="R4" t="s">
        <v>132</v>
      </c>
      <c r="S4" t="s">
        <v>312</v>
      </c>
    </row>
    <row r="5" spans="1:22" ht="12.75">
      <c r="A5">
        <v>6</v>
      </c>
      <c r="B5">
        <v>0.17600000000000002</v>
      </c>
      <c r="C5" s="3">
        <f aca="true" t="shared" si="0" ref="C5:C10">LOG10(B5)</f>
        <v>-0.7544873321858502</v>
      </c>
      <c r="I5">
        <v>6</v>
      </c>
      <c r="J5">
        <f aca="true" t="shared" si="1" ref="J5:J10">-LN(1-B5)</f>
        <v>0.19358474907266543</v>
      </c>
      <c r="K5" s="3">
        <f aca="true" t="shared" si="2" ref="K5:K10">LOG10(J5)</f>
        <v>-0.7131288601189444</v>
      </c>
      <c r="R5">
        <v>0.19358474907266543</v>
      </c>
      <c r="S5">
        <v>-0.7131288601189444</v>
      </c>
      <c r="T5">
        <v>1</v>
      </c>
      <c r="U5">
        <f aca="true" t="shared" si="3" ref="U5:U10">(T5-(3/8))/6.25</f>
        <v>0.1</v>
      </c>
      <c r="V5">
        <f aca="true" t="shared" si="4" ref="V5:V10">NORMSINV(U5)</f>
        <v>-1.2815507943741977</v>
      </c>
    </row>
    <row r="6" spans="1:22" ht="12.75">
      <c r="A6">
        <v>9</v>
      </c>
      <c r="B6">
        <v>0.14800000000000002</v>
      </c>
      <c r="C6" s="3">
        <f t="shared" si="0"/>
        <v>-0.8297382846050425</v>
      </c>
      <c r="E6" t="s">
        <v>598</v>
      </c>
      <c r="F6" t="s">
        <v>431</v>
      </c>
      <c r="I6">
        <v>9</v>
      </c>
      <c r="J6">
        <f t="shared" si="1"/>
        <v>0.16016875215282134</v>
      </c>
      <c r="K6" s="3">
        <f t="shared" si="2"/>
        <v>-0.7954222079228033</v>
      </c>
      <c r="M6" t="s">
        <v>598</v>
      </c>
      <c r="N6" t="s">
        <v>431</v>
      </c>
      <c r="R6">
        <v>0.16016875215282134</v>
      </c>
      <c r="S6">
        <v>-0.7954222079228033</v>
      </c>
      <c r="T6">
        <v>2</v>
      </c>
      <c r="U6">
        <f t="shared" si="3"/>
        <v>0.26</v>
      </c>
      <c r="V6">
        <f t="shared" si="4"/>
        <v>-0.6433447197196074</v>
      </c>
    </row>
    <row r="7" spans="1:22" ht="12.75">
      <c r="A7">
        <v>11</v>
      </c>
      <c r="B7">
        <v>0.124</v>
      </c>
      <c r="C7" s="3">
        <f t="shared" si="0"/>
        <v>-0.906578314837765</v>
      </c>
      <c r="E7" s="3">
        <f>AVERAGE(B5:B10)</f>
        <v>0.15783333333333335</v>
      </c>
      <c r="F7" s="3">
        <f>STDEV(B5:B10)</f>
        <v>0.047658857169120925</v>
      </c>
      <c r="I7">
        <v>11</v>
      </c>
      <c r="J7">
        <f t="shared" si="1"/>
        <v>0.13238918804574562</v>
      </c>
      <c r="K7" s="3">
        <f t="shared" si="2"/>
        <v>-0.8781474813903137</v>
      </c>
      <c r="M7" s="3">
        <f>AVERAGE(J5:J10)</f>
        <v>0.17310120755449232</v>
      </c>
      <c r="N7" s="3">
        <f>STDEV(J5:J10)</f>
        <v>0.05625870331520196</v>
      </c>
      <c r="R7">
        <v>0.13238918804574562</v>
      </c>
      <c r="S7">
        <v>-0.8781474813903137</v>
      </c>
      <c r="T7">
        <v>3</v>
      </c>
      <c r="U7">
        <f t="shared" si="3"/>
        <v>0.42</v>
      </c>
      <c r="V7">
        <f t="shared" si="4"/>
        <v>-0.20189418137306347</v>
      </c>
    </row>
    <row r="8" spans="1:22" ht="12.75">
      <c r="A8" t="s">
        <v>314</v>
      </c>
      <c r="B8">
        <v>0.198</v>
      </c>
      <c r="C8" s="3">
        <f t="shared" si="0"/>
        <v>-0.7033348097384688</v>
      </c>
      <c r="E8" s="3"/>
      <c r="F8" s="3"/>
      <c r="I8" t="s">
        <v>314</v>
      </c>
      <c r="J8">
        <f t="shared" si="1"/>
        <v>0.2206466711156225</v>
      </c>
      <c r="K8" s="3">
        <f t="shared" si="2"/>
        <v>-0.6563026203446912</v>
      </c>
      <c r="M8" s="3"/>
      <c r="N8" s="3"/>
      <c r="R8">
        <v>0.2206466711156225</v>
      </c>
      <c r="S8">
        <v>-0.6563026203446912</v>
      </c>
      <c r="T8">
        <v>4</v>
      </c>
      <c r="U8">
        <f t="shared" si="3"/>
        <v>0.58</v>
      </c>
      <c r="V8">
        <f t="shared" si="4"/>
        <v>0.20189418137306347</v>
      </c>
    </row>
    <row r="9" spans="1:22" ht="12.75">
      <c r="A9">
        <v>21</v>
      </c>
      <c r="B9">
        <v>0.087</v>
      </c>
      <c r="C9" s="3">
        <f t="shared" si="0"/>
        <v>-1.0604807473813815</v>
      </c>
      <c r="D9" s="39" t="s">
        <v>384</v>
      </c>
      <c r="E9" s="3" t="s">
        <v>126</v>
      </c>
      <c r="F9" s="3" t="s">
        <v>384</v>
      </c>
      <c r="G9" s="85" t="s">
        <v>323</v>
      </c>
      <c r="H9" s="85"/>
      <c r="I9">
        <v>21</v>
      </c>
      <c r="J9">
        <f t="shared" si="1"/>
        <v>0.09101939838716855</v>
      </c>
      <c r="K9" s="3">
        <f t="shared" si="2"/>
        <v>-1.0408660393855085</v>
      </c>
      <c r="L9" s="39" t="s">
        <v>384</v>
      </c>
      <c r="M9" s="3" t="s">
        <v>126</v>
      </c>
      <c r="N9" s="3" t="s">
        <v>384</v>
      </c>
      <c r="O9" s="85" t="s">
        <v>323</v>
      </c>
      <c r="R9">
        <v>0.09101939838716855</v>
      </c>
      <c r="S9">
        <v>-1.0408660393855085</v>
      </c>
      <c r="T9">
        <v>5</v>
      </c>
      <c r="U9">
        <f t="shared" si="3"/>
        <v>0.74</v>
      </c>
      <c r="V9">
        <f t="shared" si="4"/>
        <v>0.6433447197196074</v>
      </c>
    </row>
    <row r="10" spans="1:22" ht="12.75">
      <c r="A10" t="s">
        <v>315</v>
      </c>
      <c r="B10">
        <v>0.214</v>
      </c>
      <c r="C10" s="3">
        <f t="shared" si="0"/>
        <v>-0.6695862266508091</v>
      </c>
      <c r="D10" s="94">
        <f>STDEV(C5:C10)</f>
        <v>0.1455648722167055</v>
      </c>
      <c r="E10" s="3">
        <f>EXP(SQRT(LN(POWER(F7,2)/POWER(E7,2)+1)))</f>
        <v>1.3436560624327727</v>
      </c>
      <c r="F10" s="40">
        <f>LOG10(E10)</f>
        <v>0.12828811596246</v>
      </c>
      <c r="G10" s="86">
        <f>D10/F10</f>
        <v>1.1346715252977997</v>
      </c>
      <c r="H10" s="86"/>
      <c r="I10" t="s">
        <v>315</v>
      </c>
      <c r="J10">
        <f t="shared" si="1"/>
        <v>0.24079848655293049</v>
      </c>
      <c r="K10" s="3">
        <f t="shared" si="2"/>
        <v>-0.6183462469980024</v>
      </c>
      <c r="L10" s="94">
        <f>STDEV(K5:K10)</f>
        <v>0.15731773608948657</v>
      </c>
      <c r="M10" s="3">
        <f>EXP(SQRT(LN(POWER(N7,2)/POWER(M7,2)+1)))</f>
        <v>1.3728391330523761</v>
      </c>
      <c r="N10" s="40">
        <f>LOG10(M10)</f>
        <v>0.13761965033161006</v>
      </c>
      <c r="O10" s="86">
        <f>L10/N10</f>
        <v>1.1431342523426833</v>
      </c>
      <c r="R10">
        <v>0.24079848655293049</v>
      </c>
      <c r="S10">
        <v>-0.6183462469980024</v>
      </c>
      <c r="T10">
        <v>6</v>
      </c>
      <c r="U10">
        <f t="shared" si="3"/>
        <v>0.9</v>
      </c>
      <c r="V10">
        <f t="shared" si="4"/>
        <v>1.2815507943741977</v>
      </c>
    </row>
    <row r="11" spans="1:17" ht="12.75">
      <c r="A11" s="14" t="s">
        <v>310</v>
      </c>
      <c r="I11" s="14" t="s">
        <v>310</v>
      </c>
      <c r="Q11" s="14" t="s">
        <v>310</v>
      </c>
    </row>
    <row r="12" spans="1:19" ht="12.75">
      <c r="A12" s="38" t="s">
        <v>262</v>
      </c>
      <c r="C12" t="s">
        <v>312</v>
      </c>
      <c r="I12" s="38" t="s">
        <v>262</v>
      </c>
      <c r="J12" t="s">
        <v>132</v>
      </c>
      <c r="K12" t="s">
        <v>312</v>
      </c>
      <c r="Q12" s="38"/>
      <c r="R12" t="s">
        <v>132</v>
      </c>
      <c r="S12" t="s">
        <v>312</v>
      </c>
    </row>
    <row r="13" spans="1:22" ht="12.75">
      <c r="A13">
        <v>6</v>
      </c>
      <c r="B13">
        <v>0.12</v>
      </c>
      <c r="C13" s="3">
        <f aca="true" t="shared" si="5" ref="C13:C18">LOG10(B13)</f>
        <v>-0.9208187539523751</v>
      </c>
      <c r="I13">
        <v>6</v>
      </c>
      <c r="J13">
        <f aca="true" t="shared" si="6" ref="J13:J18">-LN(1-B13)</f>
        <v>0.12783337150988489</v>
      </c>
      <c r="K13" s="3">
        <f aca="true" t="shared" si="7" ref="K13:K18">LOG10(J13)</f>
        <v>-0.8933557567356024</v>
      </c>
      <c r="R13">
        <v>0.12783337150988489</v>
      </c>
      <c r="S13">
        <v>-0.8933557567356024</v>
      </c>
      <c r="T13">
        <v>1</v>
      </c>
      <c r="U13">
        <f aca="true" t="shared" si="8" ref="U13:U18">(T13-(3/8))/6.25</f>
        <v>0.1</v>
      </c>
      <c r="V13">
        <f aca="true" t="shared" si="9" ref="V13:V18">NORMSINV(U13)</f>
        <v>-1.2815507943741977</v>
      </c>
    </row>
    <row r="14" spans="1:22" ht="12.75">
      <c r="A14">
        <v>9</v>
      </c>
      <c r="B14">
        <v>0.11900000000000001</v>
      </c>
      <c r="C14" s="3">
        <f t="shared" si="5"/>
        <v>-0.9244530386074692</v>
      </c>
      <c r="E14" t="s">
        <v>598</v>
      </c>
      <c r="F14" t="s">
        <v>431</v>
      </c>
      <c r="I14">
        <v>9</v>
      </c>
      <c r="J14">
        <f t="shared" si="6"/>
        <v>0.1266976530459575</v>
      </c>
      <c r="K14" s="3">
        <f t="shared" si="7"/>
        <v>-0.8972314299360564</v>
      </c>
      <c r="M14" t="s">
        <v>598</v>
      </c>
      <c r="N14" t="s">
        <v>431</v>
      </c>
      <c r="R14">
        <v>0.1266976530459575</v>
      </c>
      <c r="S14">
        <v>-0.8972314299360564</v>
      </c>
      <c r="T14">
        <v>2</v>
      </c>
      <c r="U14">
        <f t="shared" si="8"/>
        <v>0.26</v>
      </c>
      <c r="V14">
        <f t="shared" si="9"/>
        <v>-0.6433447197196074</v>
      </c>
    </row>
    <row r="15" spans="1:22" ht="12.75">
      <c r="A15">
        <v>11</v>
      </c>
      <c r="B15">
        <v>0.083</v>
      </c>
      <c r="C15" s="3">
        <f t="shared" si="5"/>
        <v>-1.080921907623926</v>
      </c>
      <c r="E15" s="3">
        <f>AVERAGE(B13:B18)</f>
        <v>0.12183333333333334</v>
      </c>
      <c r="F15" s="3">
        <f>STDEV(B13:B18)</f>
        <v>0.0365809604393688</v>
      </c>
      <c r="I15">
        <v>11</v>
      </c>
      <c r="J15">
        <f t="shared" si="6"/>
        <v>0.08664780672567217</v>
      </c>
      <c r="K15" s="3">
        <f t="shared" si="7"/>
        <v>-1.0622424258986296</v>
      </c>
      <c r="M15" s="3">
        <f>AVERAGE(J13:J18)</f>
        <v>0.1306457713126972</v>
      </c>
      <c r="N15" s="3">
        <f>STDEV(J13:J18)</f>
        <v>0.04182411411296001</v>
      </c>
      <c r="R15">
        <v>0.08664780672567217</v>
      </c>
      <c r="S15">
        <v>-1.0622424258986296</v>
      </c>
      <c r="T15">
        <v>3</v>
      </c>
      <c r="U15">
        <f t="shared" si="8"/>
        <v>0.42</v>
      </c>
      <c r="V15">
        <f t="shared" si="9"/>
        <v>-0.20189418137306347</v>
      </c>
    </row>
    <row r="16" spans="1:22" ht="12.75">
      <c r="A16" t="s">
        <v>314</v>
      </c>
      <c r="B16">
        <v>0.171</v>
      </c>
      <c r="C16" s="3">
        <f t="shared" si="5"/>
        <v>-0.7670038896078462</v>
      </c>
      <c r="E16" s="3"/>
      <c r="F16" s="3"/>
      <c r="I16" t="s">
        <v>314</v>
      </c>
      <c r="J16">
        <f t="shared" si="6"/>
        <v>0.18753512384684212</v>
      </c>
      <c r="K16" s="3">
        <f t="shared" si="7"/>
        <v>-0.7269173803933715</v>
      </c>
      <c r="M16" s="3"/>
      <c r="N16" s="3"/>
      <c r="R16">
        <v>0.18753512384684212</v>
      </c>
      <c r="S16">
        <v>-0.7269173803933715</v>
      </c>
      <c r="T16">
        <v>4</v>
      </c>
      <c r="U16">
        <f t="shared" si="8"/>
        <v>0.58</v>
      </c>
      <c r="V16">
        <f t="shared" si="9"/>
        <v>0.20189418137306347</v>
      </c>
    </row>
    <row r="17" spans="1:22" ht="12.75">
      <c r="A17">
        <v>21</v>
      </c>
      <c r="B17">
        <v>0.08199999999999999</v>
      </c>
      <c r="C17" s="3">
        <f t="shared" si="5"/>
        <v>-1.0861861476162833</v>
      </c>
      <c r="D17" s="38" t="s">
        <v>384</v>
      </c>
      <c r="E17" s="3" t="s">
        <v>126</v>
      </c>
      <c r="F17" s="3" t="s">
        <v>384</v>
      </c>
      <c r="G17" s="85" t="s">
        <v>323</v>
      </c>
      <c r="H17" s="85"/>
      <c r="I17">
        <v>21</v>
      </c>
      <c r="J17">
        <f t="shared" si="6"/>
        <v>0.08555788836164653</v>
      </c>
      <c r="K17" s="3">
        <f t="shared" si="7"/>
        <v>-1.0677399427096919</v>
      </c>
      <c r="L17" s="38" t="s">
        <v>384</v>
      </c>
      <c r="M17" s="3" t="s">
        <v>126</v>
      </c>
      <c r="N17" s="3" t="s">
        <v>384</v>
      </c>
      <c r="O17" s="85" t="s">
        <v>323</v>
      </c>
      <c r="R17">
        <v>0.08555788836164653</v>
      </c>
      <c r="S17">
        <v>-1.0677399427096919</v>
      </c>
      <c r="T17">
        <v>5</v>
      </c>
      <c r="U17">
        <f t="shared" si="8"/>
        <v>0.74</v>
      </c>
      <c r="V17">
        <f t="shared" si="9"/>
        <v>0.6433447197196074</v>
      </c>
    </row>
    <row r="18" spans="1:22" ht="12.75">
      <c r="A18" t="s">
        <v>315</v>
      </c>
      <c r="B18">
        <v>0.156</v>
      </c>
      <c r="C18" s="3">
        <f t="shared" si="5"/>
        <v>-0.8068754016455385</v>
      </c>
      <c r="D18" s="94">
        <f>STDEV(C13:C18)</f>
        <v>0.13342223819167104</v>
      </c>
      <c r="E18" s="3">
        <f>EXP(SQRT(LN(POWER(F15,2)/POWER(E15,2)+1)))</f>
        <v>1.3415137220654454</v>
      </c>
      <c r="F18" s="40">
        <f>LOG10(E18)</f>
        <v>0.12759511933879963</v>
      </c>
      <c r="G18" s="86">
        <f>D18/F18</f>
        <v>1.0456688224680353</v>
      </c>
      <c r="H18" s="86"/>
      <c r="I18" t="s">
        <v>315</v>
      </c>
      <c r="J18">
        <f t="shared" si="6"/>
        <v>0.16960278438617996</v>
      </c>
      <c r="K18" s="3">
        <f t="shared" si="7"/>
        <v>-0.7705670221640499</v>
      </c>
      <c r="L18" s="94">
        <f>STDEV(K13:K18)</f>
        <v>0.14224434527923105</v>
      </c>
      <c r="M18" s="3">
        <f>EXP(SQRT(LN(POWER(N15,2)/POWER(M15,2)+1)))</f>
        <v>1.366643281720805</v>
      </c>
      <c r="N18" s="40">
        <f>LOG10(M18)</f>
        <v>0.13565517075141167</v>
      </c>
      <c r="O18" s="86">
        <f>L18/N18</f>
        <v>1.048572969915714</v>
      </c>
      <c r="R18">
        <v>0.16960278438617996</v>
      </c>
      <c r="S18">
        <v>-0.7705670221640499</v>
      </c>
      <c r="T18">
        <v>6</v>
      </c>
      <c r="U18">
        <f t="shared" si="8"/>
        <v>0.9</v>
      </c>
      <c r="V18">
        <f t="shared" si="9"/>
        <v>1.2815507943741977</v>
      </c>
    </row>
    <row r="19" spans="1:17" ht="12.75">
      <c r="A19" s="14" t="s">
        <v>313</v>
      </c>
      <c r="I19" s="14" t="s">
        <v>313</v>
      </c>
      <c r="Q19" s="14" t="s">
        <v>313</v>
      </c>
    </row>
    <row r="20" spans="1:19" ht="12.75">
      <c r="A20" s="38" t="s">
        <v>262</v>
      </c>
      <c r="C20" t="s">
        <v>312</v>
      </c>
      <c r="I20" s="38" t="s">
        <v>262</v>
      </c>
      <c r="J20" t="s">
        <v>132</v>
      </c>
      <c r="K20" t="s">
        <v>312</v>
      </c>
      <c r="Q20" s="38"/>
      <c r="R20" t="s">
        <v>132</v>
      </c>
      <c r="S20" t="s">
        <v>312</v>
      </c>
    </row>
    <row r="21" spans="1:22" ht="12.75">
      <c r="A21">
        <v>9</v>
      </c>
      <c r="B21">
        <v>0.11800000000000001</v>
      </c>
      <c r="C21" s="3">
        <f>LOG10(B21)</f>
        <v>-0.9281179926938745</v>
      </c>
      <c r="E21" t="s">
        <v>598</v>
      </c>
      <c r="F21" t="s">
        <v>431</v>
      </c>
      <c r="I21">
        <v>9</v>
      </c>
      <c r="J21">
        <f>-LN(1-B21)</f>
        <v>0.12556322297534575</v>
      </c>
      <c r="K21" s="3">
        <f>LOG10(J21)</f>
        <v>-0.9011375452940428</v>
      </c>
      <c r="M21" t="s">
        <v>598</v>
      </c>
      <c r="N21" t="s">
        <v>431</v>
      </c>
      <c r="R21">
        <v>0.12556322297534575</v>
      </c>
      <c r="S21">
        <v>-0.9011375452940428</v>
      </c>
      <c r="T21">
        <v>1</v>
      </c>
      <c r="U21">
        <f aca="true" t="shared" si="10" ref="U21:U26">(T21-(3/8))/6.25</f>
        <v>0.1</v>
      </c>
      <c r="V21">
        <f aca="true" t="shared" si="11" ref="V21:V26">NORMSINV(U21)</f>
        <v>-1.2815507943741977</v>
      </c>
    </row>
    <row r="22" spans="1:22" ht="12.75">
      <c r="A22">
        <v>11</v>
      </c>
      <c r="B22">
        <v>0.083</v>
      </c>
      <c r="C22" s="3">
        <f>LOG10(B22)</f>
        <v>-1.080921907623926</v>
      </c>
      <c r="E22" s="3">
        <f>AVERAGE(B21:B25)</f>
        <v>0.125</v>
      </c>
      <c r="F22" s="3">
        <f>STDEV(B21:B25)</f>
        <v>0.04653493311481173</v>
      </c>
      <c r="I22">
        <v>11</v>
      </c>
      <c r="J22">
        <f>-LN(1-B22)</f>
        <v>0.08664780672567217</v>
      </c>
      <c r="K22" s="3">
        <f>LOG10(J22)</f>
        <v>-1.0622424258986296</v>
      </c>
      <c r="M22" s="3">
        <f>AVERAGE(J21:J25)</f>
        <v>0.13466912951166346</v>
      </c>
      <c r="N22" s="3">
        <f>STDEV(J21:J25)</f>
        <v>0.05340480325084157</v>
      </c>
      <c r="R22">
        <v>0.08664780672567217</v>
      </c>
      <c r="S22">
        <v>-1.0622424258986296</v>
      </c>
      <c r="T22">
        <v>2</v>
      </c>
      <c r="U22">
        <f t="shared" si="10"/>
        <v>0.26</v>
      </c>
      <c r="V22">
        <f t="shared" si="11"/>
        <v>-0.6433447197196074</v>
      </c>
    </row>
    <row r="23" spans="1:22" ht="12.75">
      <c r="A23" t="s">
        <v>314</v>
      </c>
      <c r="B23">
        <v>0.16899999999999998</v>
      </c>
      <c r="C23" s="3">
        <f>LOG10(B23)</f>
        <v>-0.7721132953863266</v>
      </c>
      <c r="E23" s="3"/>
      <c r="F23" s="3"/>
      <c r="I23" t="s">
        <v>314</v>
      </c>
      <c r="J23">
        <f>-LN(1-B23)</f>
        <v>0.18512548412668892</v>
      </c>
      <c r="K23" s="3">
        <f>LOG10(J23)</f>
        <v>-0.7325337927339377</v>
      </c>
      <c r="M23" s="3"/>
      <c r="N23" s="3"/>
      <c r="R23">
        <v>0.18512548412668892</v>
      </c>
      <c r="S23">
        <v>-0.7325337927339377</v>
      </c>
      <c r="T23">
        <v>3</v>
      </c>
      <c r="U23">
        <f t="shared" si="10"/>
        <v>0.42</v>
      </c>
      <c r="V23">
        <f t="shared" si="11"/>
        <v>-0.20189418137306347</v>
      </c>
    </row>
    <row r="24" spans="1:22" ht="12.75">
      <c r="A24">
        <v>21</v>
      </c>
      <c r="B24">
        <v>0.078</v>
      </c>
      <c r="C24" s="3">
        <f>LOG10(B24)</f>
        <v>-1.1079053973095194</v>
      </c>
      <c r="D24" t="s">
        <v>384</v>
      </c>
      <c r="E24" s="3" t="s">
        <v>126</v>
      </c>
      <c r="F24" s="3" t="s">
        <v>384</v>
      </c>
      <c r="G24" s="85" t="s">
        <v>323</v>
      </c>
      <c r="H24" s="85"/>
      <c r="I24">
        <v>21</v>
      </c>
      <c r="J24">
        <f>-LN(1-B24)</f>
        <v>0.08121005542554317</v>
      </c>
      <c r="K24" s="3">
        <f>LOG10(J24)</f>
        <v>-1.0903901931054556</v>
      </c>
      <c r="L24" t="s">
        <v>384</v>
      </c>
      <c r="M24" s="3" t="s">
        <v>126</v>
      </c>
      <c r="N24" s="3" t="s">
        <v>384</v>
      </c>
      <c r="O24" s="85" t="s">
        <v>323</v>
      </c>
      <c r="R24">
        <v>0.08121005542554317</v>
      </c>
      <c r="S24">
        <v>-1.0903901931054556</v>
      </c>
      <c r="T24">
        <v>4</v>
      </c>
      <c r="U24">
        <f t="shared" si="10"/>
        <v>0.58</v>
      </c>
      <c r="V24">
        <f t="shared" si="11"/>
        <v>0.20189418137306347</v>
      </c>
    </row>
    <row r="25" spans="1:22" ht="12.75">
      <c r="A25" t="s">
        <v>315</v>
      </c>
      <c r="B25">
        <v>0.177</v>
      </c>
      <c r="C25" s="3">
        <f>LOG10(B25)</f>
        <v>-0.7520267336381934</v>
      </c>
      <c r="D25" s="6">
        <f>STDEV(C21:C25)</f>
        <v>0.16659689020002605</v>
      </c>
      <c r="E25" s="3">
        <f>EXP(SQRT(LN(POWER(F22,2)/POWER(E22,2)+1)))</f>
        <v>1.4337123636848141</v>
      </c>
      <c r="F25" s="40">
        <f>LOG10(E25)</f>
        <v>0.15646203041513637</v>
      </c>
      <c r="G25" s="86">
        <f>D25/F25</f>
        <v>1.0647752030188995</v>
      </c>
      <c r="H25" s="86"/>
      <c r="I25" t="s">
        <v>315</v>
      </c>
      <c r="J25">
        <f>-LN(1-B25)</f>
        <v>0.1947990783050673</v>
      </c>
      <c r="K25" s="3">
        <f>LOG10(J25)</f>
        <v>-0.7104131023237803</v>
      </c>
      <c r="L25" s="6">
        <f>STDEV(K21:K25)</f>
        <v>0.1778751607224991</v>
      </c>
      <c r="M25" s="3">
        <f>EXP(SQRT(LN(POWER(N22,2)/POWER(M22,2)+1)))</f>
        <v>1.4654673132097336</v>
      </c>
      <c r="N25" s="40">
        <f>LOG10(M25)</f>
        <v>0.16597613607983955</v>
      </c>
      <c r="O25" s="86">
        <f>L25/N25</f>
        <v>1.0716911775614282</v>
      </c>
      <c r="R25">
        <v>0.1947990783050673</v>
      </c>
      <c r="S25">
        <v>-0.7104131023237803</v>
      </c>
      <c r="T25">
        <v>5</v>
      </c>
      <c r="U25">
        <f t="shared" si="10"/>
        <v>0.74</v>
      </c>
      <c r="V25">
        <f t="shared" si="11"/>
        <v>0.6433447197196074</v>
      </c>
    </row>
    <row r="26" spans="1:22" ht="12.75">
      <c r="A26" s="14" t="s">
        <v>328</v>
      </c>
      <c r="I26" s="14" t="s">
        <v>328</v>
      </c>
      <c r="Q26" s="14" t="s">
        <v>328</v>
      </c>
      <c r="T26">
        <v>6</v>
      </c>
      <c r="U26">
        <f t="shared" si="10"/>
        <v>0.9</v>
      </c>
      <c r="V26">
        <f t="shared" si="11"/>
        <v>1.2815507943741977</v>
      </c>
    </row>
    <row r="27" spans="1:19" ht="12.75">
      <c r="A27" s="38" t="s">
        <v>262</v>
      </c>
      <c r="C27" t="s">
        <v>312</v>
      </c>
      <c r="I27" s="38" t="s">
        <v>262</v>
      </c>
      <c r="J27" t="s">
        <v>132</v>
      </c>
      <c r="K27" t="s">
        <v>312</v>
      </c>
      <c r="Q27" s="38"/>
      <c r="R27" t="s">
        <v>132</v>
      </c>
      <c r="S27" t="s">
        <v>312</v>
      </c>
    </row>
    <row r="28" spans="1:22" ht="12.75">
      <c r="A28">
        <v>6</v>
      </c>
      <c r="B28">
        <v>0.18</v>
      </c>
      <c r="C28" s="3">
        <f aca="true" t="shared" si="12" ref="C28:C33">LOG10(B28)</f>
        <v>-0.7447274948966939</v>
      </c>
      <c r="I28">
        <v>6</v>
      </c>
      <c r="J28">
        <f aca="true" t="shared" si="13" ref="J28:J33">-LN(1-B28)</f>
        <v>0.19845093872383818</v>
      </c>
      <c r="K28" s="3">
        <f aca="true" t="shared" si="14" ref="K28:K33">LOG10(J28)</f>
        <v>-0.7023468424276733</v>
      </c>
      <c r="R28">
        <v>0.19845093872383818</v>
      </c>
      <c r="S28">
        <v>-0.7023468424276733</v>
      </c>
      <c r="T28">
        <v>1</v>
      </c>
      <c r="U28">
        <f aca="true" t="shared" si="15" ref="U28:U33">(T28-(3/8))/6.25</f>
        <v>0.1</v>
      </c>
      <c r="V28">
        <f aca="true" t="shared" si="16" ref="V28:V33">NORMSINV(U28)</f>
        <v>-1.2815507943741977</v>
      </c>
    </row>
    <row r="29" spans="1:22" ht="12.75">
      <c r="A29">
        <v>9</v>
      </c>
      <c r="B29">
        <v>0.157</v>
      </c>
      <c r="C29" s="3">
        <f t="shared" si="12"/>
        <v>-0.8041003475907663</v>
      </c>
      <c r="E29" t="s">
        <v>598</v>
      </c>
      <c r="F29" t="s">
        <v>431</v>
      </c>
      <c r="I29">
        <v>9</v>
      </c>
      <c r="J29">
        <f t="shared" si="13"/>
        <v>0.17078832098028163</v>
      </c>
      <c r="K29" s="3">
        <f t="shared" si="14"/>
        <v>-0.7675418309961805</v>
      </c>
      <c r="M29" t="s">
        <v>598</v>
      </c>
      <c r="N29" t="s">
        <v>431</v>
      </c>
      <c r="R29">
        <v>0.17078832098028163</v>
      </c>
      <c r="S29">
        <v>-0.7675418309961805</v>
      </c>
      <c r="T29">
        <v>2</v>
      </c>
      <c r="U29">
        <f t="shared" si="15"/>
        <v>0.26</v>
      </c>
      <c r="V29">
        <f t="shared" si="16"/>
        <v>-0.6433447197196074</v>
      </c>
    </row>
    <row r="30" spans="1:22" ht="12.75">
      <c r="A30">
        <v>11</v>
      </c>
      <c r="B30">
        <v>0.128</v>
      </c>
      <c r="C30" s="3">
        <f t="shared" si="12"/>
        <v>-0.8927900303521317</v>
      </c>
      <c r="E30" s="3">
        <f>AVERAGE(B28:B33)</f>
        <v>0.1728333333333333</v>
      </c>
      <c r="F30" s="3">
        <f>STDEV(B28:B33)</f>
        <v>0.04974099583509238</v>
      </c>
      <c r="I30">
        <v>11</v>
      </c>
      <c r="J30">
        <f t="shared" si="13"/>
        <v>0.13696585507315742</v>
      </c>
      <c r="K30" s="3">
        <f t="shared" si="14"/>
        <v>-0.863387686869523</v>
      </c>
      <c r="M30" s="3">
        <f>AVERAGE(J28:J33)</f>
        <v>0.19126992128869572</v>
      </c>
      <c r="N30" s="3">
        <f>STDEV(J28:J33)</f>
        <v>0.060558158927989617</v>
      </c>
      <c r="R30">
        <v>0.13696585507315742</v>
      </c>
      <c r="S30">
        <v>-0.863387686869523</v>
      </c>
      <c r="T30">
        <v>3</v>
      </c>
      <c r="U30">
        <f t="shared" si="15"/>
        <v>0.42</v>
      </c>
      <c r="V30">
        <f t="shared" si="16"/>
        <v>-0.20189418137306347</v>
      </c>
    </row>
    <row r="31" spans="1:22" ht="12.75">
      <c r="A31" t="s">
        <v>314</v>
      </c>
      <c r="B31">
        <v>0.24100000000000002</v>
      </c>
      <c r="C31" s="3">
        <f t="shared" si="12"/>
        <v>-0.6179829574251315</v>
      </c>
      <c r="E31" s="3"/>
      <c r="F31" s="3"/>
      <c r="I31" t="s">
        <v>314</v>
      </c>
      <c r="J31">
        <f t="shared" si="13"/>
        <v>0.27575350158650713</v>
      </c>
      <c r="K31" s="3">
        <f t="shared" si="14"/>
        <v>-0.5594789640734738</v>
      </c>
      <c r="M31" s="3"/>
      <c r="N31" s="3"/>
      <c r="R31">
        <v>0.27575350158650713</v>
      </c>
      <c r="S31">
        <v>-0.5594789640734738</v>
      </c>
      <c r="T31">
        <v>4</v>
      </c>
      <c r="U31">
        <f t="shared" si="15"/>
        <v>0.58</v>
      </c>
      <c r="V31">
        <f t="shared" si="16"/>
        <v>0.20189418137306347</v>
      </c>
    </row>
    <row r="32" spans="1:22" ht="12.75">
      <c r="A32">
        <v>21</v>
      </c>
      <c r="B32">
        <v>0.114</v>
      </c>
      <c r="C32" s="3">
        <f t="shared" si="12"/>
        <v>-0.9430951486635274</v>
      </c>
      <c r="D32" t="s">
        <v>384</v>
      </c>
      <c r="E32" s="3" t="s">
        <v>126</v>
      </c>
      <c r="F32" s="3" t="s">
        <v>384</v>
      </c>
      <c r="G32" s="85" t="s">
        <v>323</v>
      </c>
      <c r="H32" s="85"/>
      <c r="I32">
        <v>21</v>
      </c>
      <c r="J32">
        <f t="shared" si="13"/>
        <v>0.1210383283770561</v>
      </c>
      <c r="K32" s="3">
        <f t="shared" si="14"/>
        <v>-0.9170770828503145</v>
      </c>
      <c r="L32" t="s">
        <v>384</v>
      </c>
      <c r="M32" s="3" t="s">
        <v>126</v>
      </c>
      <c r="N32" s="3" t="s">
        <v>384</v>
      </c>
      <c r="O32" s="85" t="s">
        <v>323</v>
      </c>
      <c r="R32">
        <v>0.1210383283770561</v>
      </c>
      <c r="S32">
        <v>-0.9170770828503145</v>
      </c>
      <c r="T32">
        <v>5</v>
      </c>
      <c r="U32">
        <f t="shared" si="15"/>
        <v>0.74</v>
      </c>
      <c r="V32">
        <f t="shared" si="16"/>
        <v>0.6433447197196074</v>
      </c>
    </row>
    <row r="33" spans="1:22" ht="12.75">
      <c r="A33" t="s">
        <v>315</v>
      </c>
      <c r="B33">
        <v>0.217</v>
      </c>
      <c r="C33" s="3">
        <f t="shared" si="12"/>
        <v>-0.6635402661514704</v>
      </c>
      <c r="D33" s="94">
        <f>STDEV(C28:C33)</f>
        <v>0.12722217812619285</v>
      </c>
      <c r="E33" s="3">
        <f>EXP(SQRT(LN(POWER(F30,2)/POWER(E30,2)+1)))</f>
        <v>1.32589992408345</v>
      </c>
      <c r="F33" s="40">
        <f>LOG10(E33)</f>
        <v>0.12251074574408599</v>
      </c>
      <c r="G33" s="86">
        <f>D33/F33</f>
        <v>1.0384572990188847</v>
      </c>
      <c r="H33" s="86"/>
      <c r="I33" t="s">
        <v>315</v>
      </c>
      <c r="J33">
        <f t="shared" si="13"/>
        <v>0.24462258299133394</v>
      </c>
      <c r="K33" s="3">
        <f t="shared" si="14"/>
        <v>-0.6115034523864192</v>
      </c>
      <c r="L33" s="94">
        <f>STDEV(K28:K33)</f>
        <v>0.13985583725826461</v>
      </c>
      <c r="M33" s="3">
        <f>EXP(SQRT(LN(POWER(N30,2)/POWER(M30,2)+1)))</f>
        <v>1.3621717371253763</v>
      </c>
      <c r="N33" s="40">
        <f>LOG10(M33)</f>
        <v>0.13423186512745316</v>
      </c>
      <c r="O33" s="86">
        <f>L33/N33</f>
        <v>1.0418974445856912</v>
      </c>
      <c r="R33">
        <v>0.24462258299133394</v>
      </c>
      <c r="S33">
        <v>-0.6115034523864192</v>
      </c>
      <c r="T33">
        <v>6</v>
      </c>
      <c r="U33">
        <f t="shared" si="15"/>
        <v>0.9</v>
      </c>
      <c r="V33">
        <f t="shared" si="16"/>
        <v>1.2815507943741977</v>
      </c>
    </row>
    <row r="34" spans="1:17" ht="12.75">
      <c r="A34" s="14" t="s">
        <v>311</v>
      </c>
      <c r="I34" s="14" t="s">
        <v>311</v>
      </c>
      <c r="Q34" s="14" t="s">
        <v>311</v>
      </c>
    </row>
    <row r="35" spans="1:19" ht="12.75">
      <c r="A35" s="38" t="s">
        <v>262</v>
      </c>
      <c r="C35" t="s">
        <v>312</v>
      </c>
      <c r="I35" s="38" t="s">
        <v>262</v>
      </c>
      <c r="J35" t="s">
        <v>132</v>
      </c>
      <c r="K35" t="s">
        <v>312</v>
      </c>
      <c r="Q35" s="38"/>
      <c r="R35" t="s">
        <v>132</v>
      </c>
      <c r="S35" t="s">
        <v>312</v>
      </c>
    </row>
    <row r="36" spans="1:22" ht="12.75">
      <c r="A36">
        <v>6</v>
      </c>
      <c r="B36">
        <v>0.308</v>
      </c>
      <c r="C36" s="3">
        <f aca="true" t="shared" si="17" ref="C36:C41">LOG10(B36)</f>
        <v>-0.5114492834995558</v>
      </c>
      <c r="I36">
        <v>6</v>
      </c>
      <c r="J36">
        <f aca="true" t="shared" si="18" ref="J36:J41">-LN(1-B36)</f>
        <v>0.36816932336446756</v>
      </c>
      <c r="K36" s="3">
        <f aca="true" t="shared" si="19" ref="K36:K41">LOG10(J36)</f>
        <v>-0.4339524006461186</v>
      </c>
      <c r="R36">
        <v>0.36816932336446756</v>
      </c>
      <c r="S36">
        <v>-0.4339524006461186</v>
      </c>
      <c r="T36">
        <v>1</v>
      </c>
      <c r="U36">
        <f aca="true" t="shared" si="20" ref="U36:U41">(T36-(3/8))/6.25</f>
        <v>0.1</v>
      </c>
      <c r="V36">
        <f aca="true" t="shared" si="21" ref="V36:V41">NORMSINV(U36)</f>
        <v>-1.2815507943741977</v>
      </c>
    </row>
    <row r="37" spans="1:22" ht="12.75">
      <c r="A37">
        <v>9</v>
      </c>
      <c r="B37">
        <v>0.26899999999999996</v>
      </c>
      <c r="C37" s="3">
        <f t="shared" si="17"/>
        <v>-0.5702477199975922</v>
      </c>
      <c r="E37" t="s">
        <v>598</v>
      </c>
      <c r="F37" t="s">
        <v>431</v>
      </c>
      <c r="I37">
        <v>9</v>
      </c>
      <c r="J37">
        <f t="shared" si="18"/>
        <v>0.31334181923235843</v>
      </c>
      <c r="K37" s="3">
        <f t="shared" si="19"/>
        <v>-0.5039816394309748</v>
      </c>
      <c r="M37" t="s">
        <v>598</v>
      </c>
      <c r="N37" t="s">
        <v>431</v>
      </c>
      <c r="R37">
        <v>0.31334181923235843</v>
      </c>
      <c r="S37">
        <v>-0.5039816394309748</v>
      </c>
      <c r="T37">
        <v>2</v>
      </c>
      <c r="U37">
        <f t="shared" si="20"/>
        <v>0.26</v>
      </c>
      <c r="V37">
        <f t="shared" si="21"/>
        <v>-0.6433447197196074</v>
      </c>
    </row>
    <row r="38" spans="1:22" ht="12.75">
      <c r="A38">
        <v>11</v>
      </c>
      <c r="B38">
        <v>0.23199999999999998</v>
      </c>
      <c r="C38" s="3">
        <f t="shared" si="17"/>
        <v>-0.6345120151091004</v>
      </c>
      <c r="E38" s="3">
        <f>AVERAGE(B36:B41)</f>
        <v>0.2855</v>
      </c>
      <c r="F38" s="3">
        <f>STDEV(B36:B41)</f>
        <v>0.05762898576237501</v>
      </c>
      <c r="I38">
        <v>11</v>
      </c>
      <c r="J38">
        <f t="shared" si="18"/>
        <v>0.26396554583446485</v>
      </c>
      <c r="K38" s="3">
        <f t="shared" si="19"/>
        <v>-0.5784527558213399</v>
      </c>
      <c r="M38" s="3">
        <f>AVERAGE(J36:J41)</f>
        <v>0.3388854451043916</v>
      </c>
      <c r="N38" s="3">
        <f>STDEV(J36:J41)</f>
        <v>0.08071423669561006</v>
      </c>
      <c r="R38">
        <v>0.26396554583446485</v>
      </c>
      <c r="S38">
        <v>-0.5784527558213399</v>
      </c>
      <c r="T38">
        <v>3</v>
      </c>
      <c r="U38">
        <f t="shared" si="20"/>
        <v>0.42</v>
      </c>
      <c r="V38">
        <f t="shared" si="21"/>
        <v>-0.20189418137306347</v>
      </c>
    </row>
    <row r="39" spans="1:22" ht="12.75">
      <c r="A39" t="s">
        <v>314</v>
      </c>
      <c r="B39">
        <v>0.35700000000000004</v>
      </c>
      <c r="C39" s="3">
        <f t="shared" si="17"/>
        <v>-0.44733178388780676</v>
      </c>
      <c r="E39" s="3"/>
      <c r="F39" s="3"/>
      <c r="I39" t="s">
        <v>314</v>
      </c>
      <c r="J39">
        <f t="shared" si="18"/>
        <v>0.44161055474451766</v>
      </c>
      <c r="K39" s="3">
        <f t="shared" si="19"/>
        <v>-0.3549605552686153</v>
      </c>
      <c r="M39" s="3"/>
      <c r="N39" s="3"/>
      <c r="R39">
        <v>0.44161055474451766</v>
      </c>
      <c r="S39">
        <v>-0.3549605552686153</v>
      </c>
      <c r="T39">
        <v>4</v>
      </c>
      <c r="U39">
        <f t="shared" si="20"/>
        <v>0.58</v>
      </c>
      <c r="V39">
        <f t="shared" si="21"/>
        <v>0.20189418137306347</v>
      </c>
    </row>
    <row r="40" spans="1:22" ht="12.75">
      <c r="A40">
        <v>21</v>
      </c>
      <c r="B40">
        <v>0.212</v>
      </c>
      <c r="C40" s="3">
        <f t="shared" si="17"/>
        <v>-0.6736641390712486</v>
      </c>
      <c r="D40" t="s">
        <v>384</v>
      </c>
      <c r="E40" s="3" t="s">
        <v>126</v>
      </c>
      <c r="F40" s="3" t="s">
        <v>384</v>
      </c>
      <c r="G40" s="85" t="s">
        <v>323</v>
      </c>
      <c r="H40" s="85"/>
      <c r="I40">
        <v>21</v>
      </c>
      <c r="J40">
        <f t="shared" si="18"/>
        <v>0.2382571891242579</v>
      </c>
      <c r="K40" s="3">
        <f t="shared" si="19"/>
        <v>-0.6229539861780298</v>
      </c>
      <c r="L40" t="s">
        <v>384</v>
      </c>
      <c r="M40" s="3" t="s">
        <v>126</v>
      </c>
      <c r="N40" s="3" t="s">
        <v>384</v>
      </c>
      <c r="O40" s="85" t="s">
        <v>323</v>
      </c>
      <c r="R40">
        <v>0.2382571891242579</v>
      </c>
      <c r="S40">
        <v>-0.6229539861780298</v>
      </c>
      <c r="T40">
        <v>5</v>
      </c>
      <c r="U40">
        <f t="shared" si="20"/>
        <v>0.74</v>
      </c>
      <c r="V40">
        <f t="shared" si="21"/>
        <v>0.6433447197196074</v>
      </c>
    </row>
    <row r="41" spans="1:22" ht="12.75">
      <c r="A41" t="s">
        <v>315</v>
      </c>
      <c r="B41">
        <v>0.335</v>
      </c>
      <c r="C41" s="3">
        <f t="shared" si="17"/>
        <v>-0.47495519296315475</v>
      </c>
      <c r="D41" s="94">
        <f>STDEV(C36:C41)</f>
        <v>0.08997674004844977</v>
      </c>
      <c r="E41" s="3">
        <f>EXP(SQRT(LN(POWER(F38,2)/POWER(E38,2)+1)))</f>
        <v>1.2212084586794885</v>
      </c>
      <c r="F41" s="40">
        <f>LOG10(E41)</f>
        <v>0.08678980377033825</v>
      </c>
      <c r="G41" s="86">
        <f>D41/F41</f>
        <v>1.036720169186518</v>
      </c>
      <c r="H41" s="86"/>
      <c r="I41" t="s">
        <v>315</v>
      </c>
      <c r="J41">
        <f t="shared" si="18"/>
        <v>0.4079682383262828</v>
      </c>
      <c r="K41" s="3">
        <f t="shared" si="19"/>
        <v>-0.38937364685268994</v>
      </c>
      <c r="L41" s="94">
        <f>STDEV(K36:K41)</f>
        <v>0.1064612938437528</v>
      </c>
      <c r="M41" s="3">
        <f>EXP(SQRT(LN(POWER(N38,2)/POWER(M38,2)+1)))</f>
        <v>1.2647794808635024</v>
      </c>
      <c r="N41" s="40">
        <f>LOG10(M41)</f>
        <v>0.10201481120938309</v>
      </c>
      <c r="O41" s="86">
        <f>L41/N41</f>
        <v>1.0435866378779393</v>
      </c>
      <c r="R41">
        <v>0.4079682383262828</v>
      </c>
      <c r="S41">
        <v>-0.38937364685268994</v>
      </c>
      <c r="T41">
        <v>6</v>
      </c>
      <c r="U41">
        <f t="shared" si="20"/>
        <v>0.9</v>
      </c>
      <c r="V41">
        <f t="shared" si="21"/>
        <v>1.2815507943741977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7" sqref="D17"/>
    </sheetView>
  </sheetViews>
  <sheetFormatPr defaultColWidth="11.00390625" defaultRowHeight="12"/>
  <cols>
    <col min="1" max="16384" width="10.875" style="192" customWidth="1"/>
  </cols>
  <sheetData>
    <row r="1" ht="12.75">
      <c r="A1" s="200" t="s">
        <v>491</v>
      </c>
    </row>
    <row r="2" ht="12.75">
      <c r="A2" s="200"/>
    </row>
    <row r="3" ht="12.75">
      <c r="C3" s="192" t="s">
        <v>459</v>
      </c>
    </row>
    <row r="4" spans="3:6" ht="12.75">
      <c r="C4" s="192" t="s">
        <v>456</v>
      </c>
      <c r="D4" s="192" t="s">
        <v>341</v>
      </c>
      <c r="E4" s="192" t="s">
        <v>455</v>
      </c>
      <c r="F4" s="192" t="s">
        <v>34</v>
      </c>
    </row>
    <row r="5" spans="1:7" ht="12.75">
      <c r="A5" s="192" t="s">
        <v>25</v>
      </c>
      <c r="C5" s="206" t="s">
        <v>118</v>
      </c>
      <c r="D5" s="192">
        <v>0.1293</v>
      </c>
      <c r="E5" s="192">
        <f aca="true" t="shared" si="0" ref="E5:E10">D5^2</f>
        <v>0.01671849</v>
      </c>
      <c r="F5" s="192">
        <v>19</v>
      </c>
      <c r="G5" s="192">
        <f aca="true" t="shared" si="1" ref="G5:G10">F5*E5</f>
        <v>0.31765130999999996</v>
      </c>
    </row>
    <row r="6" spans="1:7" ht="12.75">
      <c r="A6" s="192" t="s">
        <v>462</v>
      </c>
      <c r="C6" s="192">
        <v>2.6</v>
      </c>
      <c r="D6" s="192">
        <v>0.3336</v>
      </c>
      <c r="E6" s="192">
        <f t="shared" si="0"/>
        <v>0.11128896</v>
      </c>
      <c r="F6" s="192">
        <v>4</v>
      </c>
      <c r="G6" s="192">
        <f t="shared" si="1"/>
        <v>0.44515584</v>
      </c>
    </row>
    <row r="7" spans="1:7" ht="12.75">
      <c r="A7" s="192" t="s">
        <v>400</v>
      </c>
      <c r="C7" s="192">
        <v>2</v>
      </c>
      <c r="D7" s="192">
        <v>0.1495</v>
      </c>
      <c r="E7" s="192">
        <f t="shared" si="0"/>
        <v>0.02235025</v>
      </c>
      <c r="F7" s="192">
        <v>38</v>
      </c>
      <c r="G7" s="192">
        <f t="shared" si="1"/>
        <v>0.8493094999999999</v>
      </c>
    </row>
    <row r="8" spans="1:7" ht="12.75">
      <c r="A8" s="192" t="s">
        <v>61</v>
      </c>
      <c r="C8" s="192">
        <v>2.6</v>
      </c>
      <c r="D8" s="192">
        <v>0.3338</v>
      </c>
      <c r="E8" s="192">
        <f t="shared" si="0"/>
        <v>0.11142243999999998</v>
      </c>
      <c r="F8" s="192">
        <v>9</v>
      </c>
      <c r="G8" s="192">
        <f t="shared" si="1"/>
        <v>1.0028019599999998</v>
      </c>
    </row>
    <row r="9" spans="1:7" ht="12.75">
      <c r="A9" s="192" t="s">
        <v>482</v>
      </c>
      <c r="C9" s="205" t="s">
        <v>457</v>
      </c>
      <c r="D9" s="192">
        <v>0.1372</v>
      </c>
      <c r="E9" s="192">
        <f t="shared" si="0"/>
        <v>0.018823839999999998</v>
      </c>
      <c r="F9" s="192">
        <v>20</v>
      </c>
      <c r="G9" s="192">
        <f t="shared" si="1"/>
        <v>0.37647679999999994</v>
      </c>
    </row>
    <row r="10" spans="1:7" ht="12.75">
      <c r="A10" s="192" t="s">
        <v>461</v>
      </c>
      <c r="C10" s="206" t="s">
        <v>458</v>
      </c>
      <c r="D10" s="192">
        <v>0.1619</v>
      </c>
      <c r="E10" s="192">
        <f t="shared" si="0"/>
        <v>0.026211609999999996</v>
      </c>
      <c r="F10" s="192">
        <v>28</v>
      </c>
      <c r="G10" s="192">
        <f t="shared" si="1"/>
        <v>0.7339250799999999</v>
      </c>
    </row>
    <row r="12" spans="6:7" ht="12.75">
      <c r="F12" s="192">
        <f>SUM(F5:F10)</f>
        <v>118</v>
      </c>
      <c r="G12" s="192">
        <f>SUM(G5:G10)</f>
        <v>3.7253204899999997</v>
      </c>
    </row>
    <row r="14" ht="12.75">
      <c r="G14" s="213">
        <f>SQRT(G12/F12)</f>
        <v>0.17768092927244233</v>
      </c>
    </row>
    <row r="15" ht="12.75">
      <c r="A15" s="192" t="s">
        <v>460</v>
      </c>
    </row>
    <row r="16" ht="12.75">
      <c r="A16" s="192" t="s">
        <v>534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U101"/>
  <sheetViews>
    <sheetView workbookViewId="0" topLeftCell="B3">
      <selection activeCell="B3" sqref="B3:I15"/>
    </sheetView>
  </sheetViews>
  <sheetFormatPr defaultColWidth="11.00390625" defaultRowHeight="12"/>
  <sheetData>
    <row r="2" spans="3:13" ht="12.75">
      <c r="C2" t="s">
        <v>537</v>
      </c>
      <c r="M2" t="s">
        <v>538</v>
      </c>
    </row>
    <row r="3" spans="2:20" ht="12.75">
      <c r="B3" t="s">
        <v>535</v>
      </c>
      <c r="C3" t="s">
        <v>536</v>
      </c>
      <c r="D3" t="s">
        <v>536</v>
      </c>
      <c r="E3" t="s">
        <v>536</v>
      </c>
      <c r="F3" t="s">
        <v>536</v>
      </c>
      <c r="G3" t="s">
        <v>536</v>
      </c>
      <c r="H3" t="s">
        <v>536</v>
      </c>
      <c r="I3" t="s">
        <v>542</v>
      </c>
      <c r="L3" t="s">
        <v>535</v>
      </c>
      <c r="M3" t="s">
        <v>539</v>
      </c>
      <c r="N3" t="s">
        <v>482</v>
      </c>
      <c r="O3" t="s">
        <v>540</v>
      </c>
      <c r="P3" t="s">
        <v>541</v>
      </c>
      <c r="Q3" t="s">
        <v>254</v>
      </c>
      <c r="R3" t="s">
        <v>543</v>
      </c>
      <c r="S3" t="s">
        <v>461</v>
      </c>
      <c r="T3" t="s">
        <v>544</v>
      </c>
    </row>
    <row r="4" spans="2:12" ht="12"/>
    <row r="5" spans="2:20" ht="12.75">
      <c r="B5">
        <v>0.2</v>
      </c>
      <c r="C5" s="3">
        <v>0.08450704225352113</v>
      </c>
      <c r="D5" s="3">
        <v>0.12244897959183673</v>
      </c>
      <c r="E5" s="3">
        <v>0.05357142857142856</v>
      </c>
      <c r="F5" s="3">
        <v>0.058823529411764705</v>
      </c>
      <c r="G5" s="3">
        <v>0.12</v>
      </c>
      <c r="H5" s="3">
        <v>0.047619047619047616</v>
      </c>
      <c r="J5" s="192"/>
      <c r="K5" s="192"/>
      <c r="L5">
        <v>0.2</v>
      </c>
      <c r="M5" s="196">
        <v>0.05057370812274196</v>
      </c>
      <c r="N5" s="192"/>
      <c r="P5" s="192"/>
      <c r="Q5" s="192"/>
      <c r="S5" s="192"/>
      <c r="T5" s="192"/>
    </row>
    <row r="6" spans="2:21" ht="12.75">
      <c r="B6">
        <v>0.4</v>
      </c>
      <c r="C6" s="3">
        <v>0.0967741935483871</v>
      </c>
      <c r="D6" s="3">
        <v>0.10256410256410256</v>
      </c>
      <c r="E6" s="3">
        <v>0.08333333333333334</v>
      </c>
      <c r="F6" s="3">
        <v>0.05</v>
      </c>
      <c r="G6" s="3">
        <v>0.06818181818181818</v>
      </c>
      <c r="H6" s="3">
        <v>0.03448275862068966</v>
      </c>
      <c r="J6" s="192"/>
      <c r="K6" s="192"/>
      <c r="L6">
        <v>0.4</v>
      </c>
      <c r="M6" s="196">
        <v>0.061165546609866964</v>
      </c>
      <c r="N6" s="192"/>
      <c r="O6" s="195"/>
      <c r="P6" s="192"/>
      <c r="Q6" s="192"/>
      <c r="R6" s="195"/>
      <c r="S6" s="192"/>
      <c r="T6" s="192"/>
      <c r="U6" s="195"/>
    </row>
    <row r="7" spans="2:21" ht="12.75">
      <c r="B7">
        <v>0.8</v>
      </c>
      <c r="C7" s="3">
        <v>0.09433962264150944</v>
      </c>
      <c r="D7" s="3">
        <v>0.15625</v>
      </c>
      <c r="E7" s="3">
        <v>0.12820512820512822</v>
      </c>
      <c r="F7" s="3">
        <v>0.07692307692307693</v>
      </c>
      <c r="G7" s="3">
        <v>0.11111111111111112</v>
      </c>
      <c r="H7" s="3">
        <v>0.08695652173913043</v>
      </c>
      <c r="J7" s="192"/>
      <c r="K7" s="192"/>
      <c r="L7">
        <v>0.8</v>
      </c>
      <c r="M7" s="196">
        <v>0.0637240202640369</v>
      </c>
      <c r="N7" s="192"/>
      <c r="O7" s="195"/>
      <c r="P7" s="192"/>
      <c r="Q7" s="192"/>
      <c r="R7" s="195"/>
      <c r="S7" s="192"/>
      <c r="T7" s="192"/>
      <c r="U7" s="195"/>
    </row>
    <row r="8" spans="2:21" ht="12.75">
      <c r="B8">
        <v>0.13</v>
      </c>
      <c r="C8" s="3">
        <v>0.09090909090909091</v>
      </c>
      <c r="D8" s="3">
        <v>0.17391304347826086</v>
      </c>
      <c r="E8" s="3">
        <v>0.20689655172413793</v>
      </c>
      <c r="F8" s="3">
        <v>0.12195121951219513</v>
      </c>
      <c r="G8" s="3">
        <v>0.14814814814814814</v>
      </c>
      <c r="H8" s="3">
        <v>0.1</v>
      </c>
      <c r="J8" s="192"/>
      <c r="K8" s="192"/>
      <c r="L8">
        <v>0.13</v>
      </c>
      <c r="M8" s="196">
        <v>0.07382996653144672</v>
      </c>
      <c r="N8" s="192"/>
      <c r="O8" s="195"/>
      <c r="P8" s="192"/>
      <c r="Q8" s="192"/>
      <c r="R8" s="195"/>
      <c r="S8" s="192"/>
      <c r="T8" s="192"/>
      <c r="U8" s="195"/>
    </row>
    <row r="9" spans="2:21" ht="12.75">
      <c r="B9">
        <v>0.24</v>
      </c>
      <c r="C9" s="3">
        <v>0.16216216216216217</v>
      </c>
      <c r="D9" s="3">
        <v>0.33333333333333337</v>
      </c>
      <c r="E9" s="3">
        <v>0.20689655172413793</v>
      </c>
      <c r="F9" s="3">
        <v>0.21875</v>
      </c>
      <c r="G9" s="3">
        <v>0.1904761904761905</v>
      </c>
      <c r="H9" s="3">
        <v>0.11111111111111112</v>
      </c>
      <c r="J9" s="192"/>
      <c r="K9" s="192"/>
      <c r="L9">
        <v>0.24</v>
      </c>
      <c r="M9" s="196">
        <v>0.09806060107599532</v>
      </c>
      <c r="N9" s="192"/>
      <c r="O9" s="195"/>
      <c r="P9" s="192"/>
      <c r="Q9" s="192"/>
      <c r="R9" s="195"/>
      <c r="S9" s="192"/>
      <c r="T9" s="192"/>
      <c r="U9" s="195"/>
    </row>
    <row r="10" spans="2:14" ht="12.75">
      <c r="B10">
        <v>2.5</v>
      </c>
      <c r="I10">
        <v>0.05</v>
      </c>
      <c r="L10">
        <v>0.25</v>
      </c>
      <c r="N10">
        <v>0.1128</v>
      </c>
    </row>
    <row r="11" spans="2:14" ht="12.75">
      <c r="B11">
        <v>3.5</v>
      </c>
      <c r="I11">
        <v>0.04</v>
      </c>
      <c r="L11">
        <v>0.5</v>
      </c>
      <c r="N11">
        <v>0.1212</v>
      </c>
    </row>
    <row r="12" spans="2:14" ht="12.75">
      <c r="B12">
        <v>5</v>
      </c>
      <c r="I12">
        <v>0.02</v>
      </c>
      <c r="L12">
        <v>0.7</v>
      </c>
      <c r="N12">
        <v>0.1428</v>
      </c>
    </row>
    <row r="13" spans="2:14" ht="12.75">
      <c r="B13">
        <v>2.5</v>
      </c>
      <c r="I13">
        <v>0.06</v>
      </c>
      <c r="L13">
        <v>1.2</v>
      </c>
      <c r="N13">
        <v>0.1256</v>
      </c>
    </row>
    <row r="14" spans="2:14" ht="12.75">
      <c r="B14">
        <v>3.5</v>
      </c>
      <c r="I14">
        <v>0.02</v>
      </c>
      <c r="L14">
        <v>1.8</v>
      </c>
      <c r="N14">
        <v>0.1503</v>
      </c>
    </row>
    <row r="15" spans="2:14" ht="12.75">
      <c r="B15">
        <v>5</v>
      </c>
      <c r="I15">
        <v>0.03</v>
      </c>
      <c r="L15">
        <v>0.25</v>
      </c>
      <c r="N15">
        <v>0.1233</v>
      </c>
    </row>
    <row r="16" spans="4:14" ht="12.75">
      <c r="D16" s="3"/>
      <c r="E16" s="3"/>
      <c r="F16" s="3"/>
      <c r="G16" s="3"/>
      <c r="H16" s="3"/>
      <c r="L16">
        <v>0.5</v>
      </c>
      <c r="N16">
        <v>0.1301</v>
      </c>
    </row>
    <row r="17" spans="4:14" ht="12.75">
      <c r="D17" s="3"/>
      <c r="E17" s="3"/>
      <c r="F17" s="3"/>
      <c r="G17" s="3"/>
      <c r="H17" s="3"/>
      <c r="L17">
        <v>0.7</v>
      </c>
      <c r="N17">
        <v>0.1588</v>
      </c>
    </row>
    <row r="18" spans="4:14" ht="12.75">
      <c r="D18" s="3"/>
      <c r="E18" s="3"/>
      <c r="F18" s="3"/>
      <c r="G18" s="3"/>
      <c r="H18" s="3"/>
      <c r="L18">
        <v>1.2</v>
      </c>
      <c r="N18">
        <v>0.1391</v>
      </c>
    </row>
    <row r="19" spans="4:14" ht="12.75">
      <c r="D19" s="3"/>
      <c r="E19" s="3"/>
      <c r="F19" s="3"/>
      <c r="G19" s="3"/>
      <c r="H19" s="3"/>
      <c r="L19">
        <v>0.25</v>
      </c>
      <c r="N19">
        <v>0.1106</v>
      </c>
    </row>
    <row r="20" spans="4:14" ht="12.75">
      <c r="D20" s="3"/>
      <c r="E20" s="3"/>
      <c r="F20" s="3"/>
      <c r="G20" s="3"/>
      <c r="H20" s="3"/>
      <c r="L20">
        <v>0.5</v>
      </c>
      <c r="N20">
        <v>0.1455</v>
      </c>
    </row>
    <row r="21" spans="4:14" ht="12.75">
      <c r="D21" s="3"/>
      <c r="E21" s="3"/>
      <c r="F21" s="3"/>
      <c r="G21" s="3"/>
      <c r="H21" s="3"/>
      <c r="L21">
        <v>0.7</v>
      </c>
      <c r="N21">
        <v>0.1116</v>
      </c>
    </row>
    <row r="22" spans="4:14" ht="12.75">
      <c r="D22" s="3"/>
      <c r="E22" s="3"/>
      <c r="F22" s="3"/>
      <c r="G22" s="3"/>
      <c r="H22" s="3"/>
      <c r="L22">
        <v>1.2</v>
      </c>
      <c r="N22">
        <v>0.1152</v>
      </c>
    </row>
    <row r="23" spans="4:14" ht="12.75">
      <c r="D23" s="3"/>
      <c r="E23" s="3"/>
      <c r="F23" s="3"/>
      <c r="G23" s="3"/>
      <c r="H23" s="3"/>
      <c r="L23">
        <v>1.8</v>
      </c>
      <c r="N23">
        <v>0.1006</v>
      </c>
    </row>
    <row r="24" spans="4:14" ht="12.75">
      <c r="D24" s="3"/>
      <c r="E24" s="3"/>
      <c r="F24" s="3"/>
      <c r="G24" s="3"/>
      <c r="H24" s="3"/>
      <c r="L24">
        <v>0.25</v>
      </c>
      <c r="N24">
        <v>0.162</v>
      </c>
    </row>
    <row r="25" spans="4:14" ht="12.75">
      <c r="D25" s="3"/>
      <c r="E25" s="3"/>
      <c r="F25" s="3"/>
      <c r="G25" s="3"/>
      <c r="H25" s="3"/>
      <c r="L25">
        <v>0.5</v>
      </c>
      <c r="N25">
        <v>0.113</v>
      </c>
    </row>
    <row r="26" spans="4:14" ht="12.75">
      <c r="D26" s="3"/>
      <c r="E26" s="3"/>
      <c r="F26" s="3"/>
      <c r="G26" s="3"/>
      <c r="H26" s="3"/>
      <c r="L26">
        <v>0.7</v>
      </c>
      <c r="N26">
        <v>0.09</v>
      </c>
    </row>
    <row r="27" spans="4:14" ht="12.75">
      <c r="D27" s="3"/>
      <c r="E27" s="3"/>
      <c r="F27" s="3"/>
      <c r="G27" s="3"/>
      <c r="H27" s="3"/>
      <c r="L27">
        <v>1.2</v>
      </c>
      <c r="N27">
        <v>0.115</v>
      </c>
    </row>
    <row r="28" spans="4:14" ht="12.75">
      <c r="D28" s="3"/>
      <c r="E28" s="3"/>
      <c r="F28" s="3"/>
      <c r="G28" s="3"/>
      <c r="H28" s="3"/>
      <c r="L28">
        <v>1.8</v>
      </c>
      <c r="N28">
        <v>0.136</v>
      </c>
    </row>
    <row r="29" spans="4:14" ht="12.75">
      <c r="D29" s="3"/>
      <c r="E29" s="3"/>
      <c r="F29" s="3"/>
      <c r="G29" s="3"/>
      <c r="H29" s="3"/>
      <c r="L29">
        <v>0.25</v>
      </c>
      <c r="N29">
        <v>0.138</v>
      </c>
    </row>
    <row r="30" spans="4:14" ht="12.75">
      <c r="D30" s="3"/>
      <c r="E30" s="3"/>
      <c r="F30" s="3"/>
      <c r="G30" s="3"/>
      <c r="H30" s="3"/>
      <c r="L30">
        <v>0.5</v>
      </c>
      <c r="N30">
        <v>0.112</v>
      </c>
    </row>
    <row r="31" spans="4:14" ht="12.75">
      <c r="D31" s="3"/>
      <c r="E31" s="3"/>
      <c r="F31" s="3"/>
      <c r="G31" s="3"/>
      <c r="H31" s="3"/>
      <c r="L31">
        <v>0.7</v>
      </c>
      <c r="N31">
        <v>0.097</v>
      </c>
    </row>
    <row r="32" spans="4:14" ht="12.75">
      <c r="D32" s="3"/>
      <c r="E32" s="3"/>
      <c r="F32" s="3"/>
      <c r="G32" s="3"/>
      <c r="H32" s="3"/>
      <c r="L32">
        <v>1.2</v>
      </c>
      <c r="N32">
        <v>0.104</v>
      </c>
    </row>
    <row r="33" spans="4:14" ht="12.75">
      <c r="D33" s="3"/>
      <c r="E33" s="3"/>
      <c r="F33" s="3"/>
      <c r="G33" s="3"/>
      <c r="H33" s="3"/>
      <c r="L33">
        <v>1.8</v>
      </c>
      <c r="N33">
        <v>0.161</v>
      </c>
    </row>
    <row r="34" spans="4:14" ht="12.75">
      <c r="D34" s="3"/>
      <c r="E34" s="3"/>
      <c r="F34" s="3"/>
      <c r="G34" s="3"/>
      <c r="H34" s="3"/>
      <c r="L34">
        <v>0.25</v>
      </c>
      <c r="N34">
        <v>0.125</v>
      </c>
    </row>
    <row r="35" spans="12:14" ht="12.75">
      <c r="L35">
        <v>0.5</v>
      </c>
      <c r="N35">
        <v>0.131</v>
      </c>
    </row>
    <row r="36" spans="12:14" ht="12.75">
      <c r="L36">
        <v>0.7</v>
      </c>
      <c r="N36">
        <v>0.133</v>
      </c>
    </row>
    <row r="37" spans="12:14" ht="12.75">
      <c r="L37">
        <v>1.2</v>
      </c>
      <c r="N37">
        <v>0.14</v>
      </c>
    </row>
    <row r="38" spans="12:14" ht="12.75">
      <c r="L38">
        <v>1.8</v>
      </c>
      <c r="N38">
        <v>0.129</v>
      </c>
    </row>
    <row r="39" spans="12:14" ht="12.75">
      <c r="L39">
        <v>0.25</v>
      </c>
      <c r="N39">
        <v>0.139</v>
      </c>
    </row>
    <row r="40" spans="12:14" ht="12.75">
      <c r="L40">
        <v>0.5</v>
      </c>
      <c r="N40">
        <v>0.144</v>
      </c>
    </row>
    <row r="41" spans="12:14" ht="12.75">
      <c r="L41">
        <v>0.7</v>
      </c>
      <c r="N41">
        <v>0.16</v>
      </c>
    </row>
    <row r="42" spans="12:14" ht="12.75">
      <c r="L42">
        <v>1.2</v>
      </c>
      <c r="N42">
        <v>0.136</v>
      </c>
    </row>
    <row r="43" spans="12:14" ht="12.75">
      <c r="L43">
        <v>1.8</v>
      </c>
      <c r="N43">
        <v>0.184</v>
      </c>
    </row>
    <row r="44" spans="12:14" ht="12.75">
      <c r="L44">
        <v>0.25</v>
      </c>
      <c r="N44">
        <v>0.103</v>
      </c>
    </row>
    <row r="45" spans="12:14" ht="12.75">
      <c r="L45">
        <v>0.5</v>
      </c>
      <c r="N45">
        <v>0.127</v>
      </c>
    </row>
    <row r="46" spans="12:14" ht="12.75">
      <c r="L46">
        <v>0.7</v>
      </c>
      <c r="N46">
        <v>0.135</v>
      </c>
    </row>
    <row r="47" spans="12:14" ht="12.75">
      <c r="L47">
        <v>1.2</v>
      </c>
      <c r="N47">
        <v>0.117</v>
      </c>
    </row>
    <row r="48" spans="12:14" ht="12.75">
      <c r="L48">
        <v>1.8</v>
      </c>
      <c r="N48">
        <v>0.152</v>
      </c>
    </row>
    <row r="49" spans="12:14" ht="12.75">
      <c r="L49">
        <v>0.25</v>
      </c>
      <c r="N49">
        <v>0.176</v>
      </c>
    </row>
    <row r="50" spans="12:14" ht="12.75">
      <c r="L50">
        <v>0.5</v>
      </c>
      <c r="N50">
        <v>0.142</v>
      </c>
    </row>
    <row r="51" spans="12:14" ht="12.75">
      <c r="L51">
        <v>0.7</v>
      </c>
      <c r="N51">
        <v>0.138</v>
      </c>
    </row>
    <row r="52" spans="12:14" ht="12.75">
      <c r="L52">
        <v>1.2</v>
      </c>
      <c r="N52">
        <v>0.135</v>
      </c>
    </row>
    <row r="53" spans="12:14" ht="12.75">
      <c r="L53">
        <v>1.8</v>
      </c>
      <c r="N53">
        <v>0.135</v>
      </c>
    </row>
    <row r="54" spans="12:14" ht="12.75">
      <c r="L54">
        <v>0.25</v>
      </c>
      <c r="N54">
        <v>0.167</v>
      </c>
    </row>
    <row r="55" spans="12:14" ht="12.75">
      <c r="L55">
        <v>0.5</v>
      </c>
      <c r="N55">
        <v>0.153</v>
      </c>
    </row>
    <row r="56" spans="12:14" ht="12.75">
      <c r="L56">
        <v>0.7</v>
      </c>
      <c r="N56">
        <v>0.167</v>
      </c>
    </row>
    <row r="57" spans="12:14" ht="12.75">
      <c r="L57">
        <v>1.2</v>
      </c>
      <c r="N57">
        <v>0.138</v>
      </c>
    </row>
    <row r="58" spans="12:14" ht="12.75">
      <c r="L58">
        <v>1.8</v>
      </c>
      <c r="N58">
        <v>0.164</v>
      </c>
    </row>
    <row r="59" spans="12:14" ht="12.75">
      <c r="L59">
        <v>0.25</v>
      </c>
      <c r="N59">
        <v>0.156</v>
      </c>
    </row>
    <row r="60" spans="12:14" ht="12.75">
      <c r="L60">
        <v>0.5</v>
      </c>
      <c r="N60">
        <v>0.181</v>
      </c>
    </row>
    <row r="61" spans="12:14" ht="12.75">
      <c r="L61">
        <v>0.7</v>
      </c>
      <c r="N61">
        <v>0.164</v>
      </c>
    </row>
    <row r="62" spans="12:14" ht="12.75">
      <c r="L62">
        <v>1.2</v>
      </c>
      <c r="N62">
        <v>0.123</v>
      </c>
    </row>
    <row r="63" spans="12:14" ht="12.75">
      <c r="L63">
        <v>1.8</v>
      </c>
      <c r="N63">
        <v>0.138</v>
      </c>
    </row>
    <row r="64" spans="12:15" ht="12.75">
      <c r="L64">
        <v>1</v>
      </c>
      <c r="O64">
        <v>0.1707</v>
      </c>
    </row>
    <row r="65" spans="12:15" ht="12.75">
      <c r="L65">
        <v>3</v>
      </c>
      <c r="O65">
        <v>0.1092</v>
      </c>
    </row>
    <row r="66" spans="12:15" ht="12.75">
      <c r="L66">
        <v>5</v>
      </c>
      <c r="O66">
        <v>0.0922</v>
      </c>
    </row>
    <row r="67" spans="12:15" ht="12.75">
      <c r="L67">
        <v>7</v>
      </c>
      <c r="O67">
        <v>0.1316</v>
      </c>
    </row>
    <row r="68" spans="12:16" ht="12.75">
      <c r="L68">
        <v>0.5</v>
      </c>
      <c r="P68">
        <v>0.345</v>
      </c>
    </row>
    <row r="69" spans="12:16" ht="12.75">
      <c r="L69">
        <v>1</v>
      </c>
      <c r="P69">
        <v>0.31</v>
      </c>
    </row>
    <row r="70" spans="12:16" ht="12.75">
      <c r="L70">
        <v>2</v>
      </c>
      <c r="P70">
        <v>0.193</v>
      </c>
    </row>
    <row r="71" spans="12:16" ht="12.75">
      <c r="L71">
        <v>3</v>
      </c>
      <c r="P71">
        <v>0.126</v>
      </c>
    </row>
    <row r="72" spans="12:16" ht="12.75">
      <c r="L72">
        <v>0.5</v>
      </c>
      <c r="P72">
        <v>0.395</v>
      </c>
    </row>
    <row r="73" spans="12:16" ht="12.75">
      <c r="L73">
        <v>1</v>
      </c>
      <c r="P73">
        <v>0.29</v>
      </c>
    </row>
    <row r="74" spans="12:16" ht="12.75">
      <c r="L74">
        <v>2</v>
      </c>
      <c r="P74">
        <v>0.185</v>
      </c>
    </row>
    <row r="75" spans="12:16" ht="12.75">
      <c r="L75">
        <v>3</v>
      </c>
      <c r="P75">
        <v>0.127</v>
      </c>
    </row>
    <row r="76" spans="12:16" ht="12.75">
      <c r="L76">
        <v>0.5</v>
      </c>
      <c r="P76">
        <v>0.345</v>
      </c>
    </row>
    <row r="77" spans="12:16" ht="12.75">
      <c r="L77">
        <v>1</v>
      </c>
      <c r="P77">
        <v>0.313</v>
      </c>
    </row>
    <row r="78" spans="12:16" ht="12.75">
      <c r="L78">
        <v>2</v>
      </c>
      <c r="P78">
        <v>0.183</v>
      </c>
    </row>
    <row r="79" spans="12:16" ht="12.75">
      <c r="L79">
        <v>3</v>
      </c>
      <c r="P79">
        <v>0.123</v>
      </c>
    </row>
    <row r="80" spans="12:16" ht="12.75">
      <c r="L80">
        <v>0.5</v>
      </c>
      <c r="P80">
        <v>0.314</v>
      </c>
    </row>
    <row r="81" spans="12:16" ht="12.75">
      <c r="L81">
        <v>1</v>
      </c>
      <c r="P81">
        <v>0.358</v>
      </c>
    </row>
    <row r="82" spans="12:16" ht="12.75">
      <c r="L82">
        <v>2</v>
      </c>
      <c r="P82">
        <v>0.192</v>
      </c>
    </row>
    <row r="83" spans="12:16" ht="12.75">
      <c r="L83">
        <v>3</v>
      </c>
      <c r="P83">
        <v>0.125</v>
      </c>
    </row>
    <row r="84" spans="12:17" ht="12.75">
      <c r="L84">
        <v>2.5</v>
      </c>
      <c r="Q84">
        <v>0.1519</v>
      </c>
    </row>
    <row r="85" spans="12:17" ht="12.75">
      <c r="L85">
        <v>3.5</v>
      </c>
      <c r="Q85">
        <v>0.1257</v>
      </c>
    </row>
    <row r="86" spans="12:17" ht="12.75">
      <c r="L86">
        <v>4.5</v>
      </c>
      <c r="Q86">
        <v>0.0898</v>
      </c>
    </row>
    <row r="87" spans="12:17" ht="12.75">
      <c r="L87">
        <v>5.5</v>
      </c>
      <c r="Q87">
        <v>0.0963</v>
      </c>
    </row>
    <row r="88" spans="12:18" ht="12.75">
      <c r="L88">
        <v>0.33</v>
      </c>
      <c r="R88">
        <v>0.029</v>
      </c>
    </row>
    <row r="89" spans="12:18" ht="12.75">
      <c r="L89">
        <v>0.65</v>
      </c>
      <c r="R89">
        <v>0.062</v>
      </c>
    </row>
    <row r="90" spans="12:18" ht="12.75">
      <c r="L90">
        <v>1.1</v>
      </c>
      <c r="R90">
        <v>0.044</v>
      </c>
    </row>
    <row r="91" spans="12:19" ht="12.75">
      <c r="L91">
        <v>1</v>
      </c>
      <c r="S91">
        <v>0.1808</v>
      </c>
    </row>
    <row r="92" spans="12:19" ht="12.75">
      <c r="L92">
        <v>2.2</v>
      </c>
      <c r="S92">
        <v>0.1379</v>
      </c>
    </row>
    <row r="93" spans="12:19" ht="12.75">
      <c r="L93">
        <v>3.2</v>
      </c>
      <c r="S93">
        <v>0.1673</v>
      </c>
    </row>
    <row r="94" spans="12:19" ht="12.75">
      <c r="L94">
        <v>1</v>
      </c>
      <c r="S94">
        <v>0.1405</v>
      </c>
    </row>
    <row r="95" spans="12:19" ht="12.75">
      <c r="L95">
        <v>2.2</v>
      </c>
      <c r="S95">
        <v>0.112</v>
      </c>
    </row>
    <row r="96" spans="12:19" ht="12.75">
      <c r="L96">
        <v>3.2</v>
      </c>
      <c r="S96">
        <v>0.169</v>
      </c>
    </row>
    <row r="97" spans="12:20" ht="12.75">
      <c r="L97">
        <v>0.3</v>
      </c>
      <c r="T97">
        <v>0.157</v>
      </c>
    </row>
    <row r="98" spans="12:20" ht="12.75">
      <c r="L98">
        <v>0.6</v>
      </c>
      <c r="T98">
        <v>0.142</v>
      </c>
    </row>
    <row r="99" spans="12:20" ht="12.75">
      <c r="L99">
        <v>0.6</v>
      </c>
      <c r="T99">
        <v>0.18</v>
      </c>
    </row>
    <row r="100" spans="12:20" ht="12.75">
      <c r="L100">
        <v>1</v>
      </c>
      <c r="T100">
        <v>0.14</v>
      </c>
    </row>
    <row r="101" spans="12:20" ht="12.75">
      <c r="L101">
        <v>1.5</v>
      </c>
      <c r="T101">
        <v>0.106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C1">
      <selection activeCell="G25" sqref="G25"/>
    </sheetView>
  </sheetViews>
  <sheetFormatPr defaultColWidth="11.00390625" defaultRowHeight="12"/>
  <cols>
    <col min="1" max="1" width="31.625" style="164" customWidth="1"/>
    <col min="2" max="2" width="16.875" style="164" customWidth="1"/>
    <col min="3" max="3" width="14.625" style="164" bestFit="1" customWidth="1"/>
    <col min="4" max="5" width="10.875" style="164" customWidth="1"/>
    <col min="6" max="6" width="7.125" style="164" customWidth="1"/>
    <col min="7" max="7" width="10.875" style="164" customWidth="1"/>
    <col min="8" max="8" width="14.625" style="164" customWidth="1"/>
    <col min="9" max="9" width="12.125" style="163" bestFit="1" customWidth="1"/>
    <col min="10" max="10" width="5.875" style="164" customWidth="1"/>
    <col min="11" max="16384" width="10.875" style="164" customWidth="1"/>
  </cols>
  <sheetData>
    <row r="1" spans="1:5" ht="18.75">
      <c r="A1" s="160" t="s">
        <v>405</v>
      </c>
      <c r="B1" s="163"/>
      <c r="C1" s="163"/>
      <c r="D1" s="163"/>
      <c r="E1" s="163"/>
    </row>
    <row r="2" spans="2:12" ht="18.75">
      <c r="B2" s="163" t="s">
        <v>369</v>
      </c>
      <c r="C2" s="163" t="s">
        <v>1</v>
      </c>
      <c r="D2" s="163" t="s">
        <v>157</v>
      </c>
      <c r="E2" s="163" t="s">
        <v>384</v>
      </c>
      <c r="F2" s="163" t="s">
        <v>126</v>
      </c>
      <c r="G2" s="163" t="s">
        <v>157</v>
      </c>
      <c r="H2" s="163" t="s">
        <v>44</v>
      </c>
      <c r="I2" s="163" t="s">
        <v>455</v>
      </c>
      <c r="J2" s="165" t="s">
        <v>34</v>
      </c>
      <c r="K2" s="183" t="s">
        <v>341</v>
      </c>
      <c r="L2" s="183" t="s">
        <v>145</v>
      </c>
    </row>
    <row r="3" spans="2:8" ht="18.75">
      <c r="B3" s="163" t="s">
        <v>370</v>
      </c>
      <c r="C3" s="163"/>
      <c r="D3" s="163"/>
      <c r="E3" s="163"/>
      <c r="F3" s="163"/>
      <c r="G3" s="163"/>
      <c r="H3" s="163"/>
    </row>
    <row r="4" spans="1:8" ht="18.75">
      <c r="A4" s="164" t="s">
        <v>371</v>
      </c>
      <c r="B4" s="163"/>
      <c r="C4" s="163"/>
      <c r="D4" s="163"/>
      <c r="E4" s="163"/>
      <c r="F4" s="163"/>
      <c r="G4" s="163"/>
      <c r="H4" s="163"/>
    </row>
    <row r="5" spans="1:12" ht="18.75">
      <c r="A5" s="165" t="s">
        <v>401</v>
      </c>
      <c r="B5" s="163">
        <v>6.7</v>
      </c>
      <c r="C5" s="163">
        <v>0.82</v>
      </c>
      <c r="D5" s="163"/>
      <c r="E5" s="166">
        <v>0.08</v>
      </c>
      <c r="F5" s="167">
        <f>POWER(10,E5)</f>
        <v>1.202264434617413</v>
      </c>
      <c r="G5" s="167">
        <f>POWER(10,C5)</f>
        <v>6.606934480075961</v>
      </c>
      <c r="H5" s="167">
        <f>G5^2</f>
        <v>43.65158322401661</v>
      </c>
      <c r="I5" s="170">
        <f>E5^2</f>
        <v>0.0064</v>
      </c>
      <c r="J5" s="164">
        <v>26</v>
      </c>
      <c r="K5" s="164">
        <f>J5*I5</f>
        <v>0.16640000000000002</v>
      </c>
      <c r="L5" s="164">
        <f>J5*H5</f>
        <v>1134.941163824432</v>
      </c>
    </row>
    <row r="6" spans="1:12" ht="18.75">
      <c r="A6" s="165" t="s">
        <v>402</v>
      </c>
      <c r="B6" s="163">
        <v>7.3</v>
      </c>
      <c r="C6" s="163">
        <v>0.86</v>
      </c>
      <c r="D6" s="163"/>
      <c r="E6" s="163">
        <v>0.073</v>
      </c>
      <c r="F6" s="167">
        <f aca="true" t="shared" si="0" ref="F6:F22">POWER(10,E6)</f>
        <v>1.1830415557251648</v>
      </c>
      <c r="G6" s="167">
        <f>POWER(10,C6)</f>
        <v>7.2443596007499025</v>
      </c>
      <c r="H6" s="167">
        <f>G6^2</f>
        <v>52.480746024977286</v>
      </c>
      <c r="I6" s="170">
        <f aca="true" t="shared" si="1" ref="I6:I23">E6^2</f>
        <v>0.0053289999999999995</v>
      </c>
      <c r="J6" s="164">
        <v>11</v>
      </c>
      <c r="K6" s="164">
        <f>J6*I6</f>
        <v>0.058619</v>
      </c>
      <c r="L6" s="164">
        <f>J6*H6</f>
        <v>577.2882062747501</v>
      </c>
    </row>
    <row r="7" spans="1:12" ht="18.75">
      <c r="A7" s="164" t="s">
        <v>372</v>
      </c>
      <c r="B7" s="168">
        <v>16</v>
      </c>
      <c r="C7" s="167">
        <v>1.19</v>
      </c>
      <c r="D7" s="168"/>
      <c r="E7" s="163">
        <v>0.107</v>
      </c>
      <c r="F7" s="167">
        <f t="shared" si="0"/>
        <v>1.2793813041575248</v>
      </c>
      <c r="G7" s="167">
        <f>POWER(10,C7)</f>
        <v>15.488166189124817</v>
      </c>
      <c r="H7" s="167">
        <f>G7^2</f>
        <v>239.88329190194915</v>
      </c>
      <c r="I7" s="170">
        <f t="shared" si="1"/>
        <v>0.011448999999999999</v>
      </c>
      <c r="J7" s="164">
        <v>33</v>
      </c>
      <c r="K7" s="164">
        <f>J7*I7</f>
        <v>0.37781699999999996</v>
      </c>
      <c r="L7" s="164">
        <f>J7*H7</f>
        <v>7916.1486327643215</v>
      </c>
    </row>
    <row r="8" spans="1:12" ht="18.75">
      <c r="A8" s="164" t="s">
        <v>373</v>
      </c>
      <c r="B8" s="163">
        <v>9.5</v>
      </c>
      <c r="C8" s="163">
        <v>0.97</v>
      </c>
      <c r="D8" s="163"/>
      <c r="E8" s="163">
        <v>0.076</v>
      </c>
      <c r="F8" s="167">
        <f t="shared" si="0"/>
        <v>1.191242008027375</v>
      </c>
      <c r="G8" s="167">
        <f>POWER(10,C8)</f>
        <v>9.33254300796991</v>
      </c>
      <c r="H8" s="167">
        <f>G8^2</f>
        <v>87.09635899560806</v>
      </c>
      <c r="I8" s="170">
        <f t="shared" si="1"/>
        <v>0.005776</v>
      </c>
      <c r="J8" s="164">
        <v>9</v>
      </c>
      <c r="K8" s="164">
        <f>J8*I8</f>
        <v>0.051984</v>
      </c>
      <c r="L8" s="164">
        <f>J8*H8</f>
        <v>783.8672309604725</v>
      </c>
    </row>
    <row r="9" spans="1:8" ht="18.75">
      <c r="A9" s="164" t="s">
        <v>462</v>
      </c>
      <c r="B9" s="163"/>
      <c r="C9" s="163"/>
      <c r="D9" s="163"/>
      <c r="E9" s="163"/>
      <c r="F9" s="167"/>
      <c r="G9" s="167"/>
      <c r="H9" s="167"/>
    </row>
    <row r="10" spans="1:11" ht="18.75">
      <c r="A10" s="165" t="s">
        <v>374</v>
      </c>
      <c r="B10" s="163">
        <v>7.9</v>
      </c>
      <c r="D10" s="163"/>
      <c r="E10" s="163">
        <v>0.081</v>
      </c>
      <c r="F10" s="167">
        <f t="shared" si="0"/>
        <v>1.2050359403717974</v>
      </c>
      <c r="G10" s="167"/>
      <c r="H10" s="167"/>
      <c r="I10" s="170">
        <f t="shared" si="1"/>
        <v>0.006561</v>
      </c>
      <c r="J10" s="164">
        <v>4</v>
      </c>
      <c r="K10" s="164">
        <f>J10*I10</f>
        <v>0.026244</v>
      </c>
    </row>
    <row r="11" spans="1:11" ht="18.75">
      <c r="A11" s="165" t="s">
        <v>375</v>
      </c>
      <c r="B11" s="163">
        <v>39.1</v>
      </c>
      <c r="C11" s="163"/>
      <c r="D11" s="163"/>
      <c r="E11" s="163">
        <v>0.054</v>
      </c>
      <c r="F11" s="167">
        <f>POWER(10,E11)</f>
        <v>1.132400363235557</v>
      </c>
      <c r="G11" s="167"/>
      <c r="H11" s="167"/>
      <c r="I11" s="170">
        <f t="shared" si="1"/>
        <v>0.0029159999999999998</v>
      </c>
      <c r="J11" s="164">
        <v>4</v>
      </c>
      <c r="K11" s="164">
        <f>J11*I11</f>
        <v>0.011663999999999999</v>
      </c>
    </row>
    <row r="12" spans="1:12" ht="18.75">
      <c r="A12" s="164" t="s">
        <v>376</v>
      </c>
      <c r="B12" s="163"/>
      <c r="C12" s="163">
        <v>1.26</v>
      </c>
      <c r="D12" s="163"/>
      <c r="E12" s="163"/>
      <c r="F12" s="167"/>
      <c r="G12" s="167">
        <f>POWER(10,C12)</f>
        <v>18.19700858609984</v>
      </c>
      <c r="H12" s="167">
        <f>G12^2</f>
        <v>331.1311214825913</v>
      </c>
      <c r="J12" s="184">
        <v>4</v>
      </c>
      <c r="L12" s="164">
        <f>J12*H12</f>
        <v>1324.5244859303652</v>
      </c>
    </row>
    <row r="13" spans="1:11" ht="18.75">
      <c r="A13" s="165" t="s">
        <v>377</v>
      </c>
      <c r="B13" s="163">
        <v>19.2</v>
      </c>
      <c r="C13" s="163"/>
      <c r="D13" s="163"/>
      <c r="E13" s="163">
        <v>0.091</v>
      </c>
      <c r="F13" s="167">
        <f t="shared" si="0"/>
        <v>1.2331048332289092</v>
      </c>
      <c r="G13" s="167"/>
      <c r="H13" s="167"/>
      <c r="I13" s="170">
        <f t="shared" si="1"/>
        <v>0.008281</v>
      </c>
      <c r="J13" s="164">
        <v>27</v>
      </c>
      <c r="K13" s="164">
        <f>J13*I13</f>
        <v>0.223587</v>
      </c>
    </row>
    <row r="14" spans="1:11" ht="18.75">
      <c r="A14" s="165" t="s">
        <v>378</v>
      </c>
      <c r="B14" s="163">
        <v>18.6</v>
      </c>
      <c r="C14" s="163"/>
      <c r="D14" s="163"/>
      <c r="E14" s="163">
        <v>0.112</v>
      </c>
      <c r="F14" s="167">
        <f t="shared" si="0"/>
        <v>1.2941958414499861</v>
      </c>
      <c r="G14" s="167"/>
      <c r="H14" s="167"/>
      <c r="I14" s="170">
        <f t="shared" si="1"/>
        <v>0.012544000000000001</v>
      </c>
      <c r="J14" s="164">
        <v>28</v>
      </c>
      <c r="K14" s="164">
        <f>J14*I14</f>
        <v>0.35123200000000004</v>
      </c>
    </row>
    <row r="15" spans="1:11" ht="18.75">
      <c r="A15" s="165" t="s">
        <v>379</v>
      </c>
      <c r="B15" s="163">
        <v>18.1</v>
      </c>
      <c r="C15" s="163"/>
      <c r="D15" s="163"/>
      <c r="E15" s="166">
        <v>0.11</v>
      </c>
      <c r="F15" s="167">
        <f t="shared" si="0"/>
        <v>1.2882495516931338</v>
      </c>
      <c r="G15" s="167"/>
      <c r="H15" s="167"/>
      <c r="I15" s="170">
        <f t="shared" si="1"/>
        <v>0.0121</v>
      </c>
      <c r="J15" s="164">
        <v>11</v>
      </c>
      <c r="K15" s="164">
        <f>J15*I15</f>
        <v>0.1331</v>
      </c>
    </row>
    <row r="16" spans="1:12" ht="18.75">
      <c r="A16" s="164" t="s">
        <v>380</v>
      </c>
      <c r="B16" s="163"/>
      <c r="C16" s="163">
        <v>0.98</v>
      </c>
      <c r="D16" s="163"/>
      <c r="E16" s="163"/>
      <c r="F16" s="167"/>
      <c r="G16" s="167">
        <f>POWER(10,C16)</f>
        <v>9.549925860214358</v>
      </c>
      <c r="H16" s="167">
        <f>G16^2</f>
        <v>91.20108393559096</v>
      </c>
      <c r="J16" s="184">
        <f>AVERAGE(J13:J15)</f>
        <v>22</v>
      </c>
      <c r="L16" s="164">
        <f>J16*H16</f>
        <v>2006.423846583001</v>
      </c>
    </row>
    <row r="17" spans="1:11" ht="18.75">
      <c r="A17" s="165" t="s">
        <v>377</v>
      </c>
      <c r="B17" s="163">
        <v>9.6</v>
      </c>
      <c r="C17" s="163"/>
      <c r="D17" s="163"/>
      <c r="E17" s="163">
        <v>0.095</v>
      </c>
      <c r="F17" s="167">
        <f t="shared" si="0"/>
        <v>1.2445146117713852</v>
      </c>
      <c r="G17" s="167"/>
      <c r="H17" s="167"/>
      <c r="I17" s="170">
        <f t="shared" si="1"/>
        <v>0.009025</v>
      </c>
      <c r="J17" s="164">
        <v>20</v>
      </c>
      <c r="K17" s="164">
        <f>J17*I17</f>
        <v>0.1805</v>
      </c>
    </row>
    <row r="18" spans="1:11" ht="18.75">
      <c r="A18" s="165" t="s">
        <v>378</v>
      </c>
      <c r="B18" s="163">
        <v>8.9</v>
      </c>
      <c r="C18" s="163"/>
      <c r="D18" s="163"/>
      <c r="E18" s="163">
        <v>0.077</v>
      </c>
      <c r="F18" s="167">
        <f t="shared" si="0"/>
        <v>1.1939881044642733</v>
      </c>
      <c r="G18" s="167"/>
      <c r="H18" s="167"/>
      <c r="I18" s="170">
        <f t="shared" si="1"/>
        <v>0.005929</v>
      </c>
      <c r="J18" s="164">
        <v>20</v>
      </c>
      <c r="K18" s="164">
        <f>J18*I18</f>
        <v>0.11858</v>
      </c>
    </row>
    <row r="19" spans="1:11" ht="18.75">
      <c r="A19" s="165" t="s">
        <v>379</v>
      </c>
      <c r="B19" s="163">
        <v>9.7</v>
      </c>
      <c r="C19" s="163"/>
      <c r="D19" s="163"/>
      <c r="E19" s="163">
        <v>0.104</v>
      </c>
      <c r="F19" s="167">
        <f t="shared" si="0"/>
        <v>1.2705741052085417</v>
      </c>
      <c r="G19" s="167"/>
      <c r="H19" s="167"/>
      <c r="I19" s="170">
        <f t="shared" si="1"/>
        <v>0.010816</v>
      </c>
      <c r="J19" s="164">
        <v>20</v>
      </c>
      <c r="K19" s="164">
        <f>J19*I19</f>
        <v>0.21631999999999998</v>
      </c>
    </row>
    <row r="20" spans="1:11" ht="18.75">
      <c r="A20" s="165" t="s">
        <v>381</v>
      </c>
      <c r="B20" s="163">
        <v>10.6</v>
      </c>
      <c r="C20" s="163"/>
      <c r="D20" s="163"/>
      <c r="E20" s="163">
        <v>0.118</v>
      </c>
      <c r="F20" s="167">
        <f t="shared" si="0"/>
        <v>1.3121998990192032</v>
      </c>
      <c r="G20" s="167"/>
      <c r="H20" s="167"/>
      <c r="I20" s="170">
        <f t="shared" si="1"/>
        <v>0.013923999999999999</v>
      </c>
      <c r="J20" s="164">
        <v>20</v>
      </c>
      <c r="K20" s="164">
        <f>J20*I20</f>
        <v>0.27847999999999995</v>
      </c>
    </row>
    <row r="21" spans="1:11" ht="18.75">
      <c r="A21" s="164" t="s">
        <v>25</v>
      </c>
      <c r="B21" s="163"/>
      <c r="C21" s="163"/>
      <c r="D21" s="163"/>
      <c r="E21" s="163"/>
      <c r="F21" s="167"/>
      <c r="G21" s="167"/>
      <c r="H21" s="167"/>
      <c r="K21" s="167"/>
    </row>
    <row r="22" spans="1:12" ht="18.75">
      <c r="A22" s="165" t="s">
        <v>374</v>
      </c>
      <c r="B22" s="163">
        <v>22.4</v>
      </c>
      <c r="C22" s="163">
        <v>1.33</v>
      </c>
      <c r="D22" s="163"/>
      <c r="E22" s="163">
        <v>0.124</v>
      </c>
      <c r="F22" s="167">
        <f t="shared" si="0"/>
        <v>1.3304544179780913</v>
      </c>
      <c r="G22" s="167">
        <f>POWER(10,C22)</f>
        <v>21.379620895022335</v>
      </c>
      <c r="H22" s="167">
        <f>G22^2</f>
        <v>457.0881896148756</v>
      </c>
      <c r="I22" s="170">
        <f t="shared" si="1"/>
        <v>0.015375999999999999</v>
      </c>
      <c r="J22" s="164">
        <v>19</v>
      </c>
      <c r="K22" s="164">
        <f>J22*I22</f>
        <v>0.29214399999999996</v>
      </c>
      <c r="L22" s="164">
        <f>J22*H22</f>
        <v>8684.675602682637</v>
      </c>
    </row>
    <row r="23" spans="1:11" ht="18.75">
      <c r="A23" s="165" t="s">
        <v>375</v>
      </c>
      <c r="B23" s="163">
        <v>66.2</v>
      </c>
      <c r="C23" s="163"/>
      <c r="D23" s="163"/>
      <c r="E23" s="163">
        <v>0.166</v>
      </c>
      <c r="F23" s="167">
        <f>POWER(10,E23)</f>
        <v>1.4655478409559115</v>
      </c>
      <c r="G23" s="167"/>
      <c r="H23" s="167"/>
      <c r="I23" s="170">
        <f t="shared" si="1"/>
        <v>0.027556000000000004</v>
      </c>
      <c r="J23" s="164">
        <v>10</v>
      </c>
      <c r="K23" s="164">
        <f>J23*I23</f>
        <v>0.27556</v>
      </c>
    </row>
    <row r="24" spans="5:12" ht="18.75">
      <c r="E24" s="171">
        <f>SQRT(K24/J24)</f>
        <v>0.09793405873908786</v>
      </c>
      <c r="F24" s="172">
        <f>POWER(10,E24)</f>
        <v>1.2529509182387006</v>
      </c>
      <c r="G24" s="172">
        <f>(L24/J24)^0.5</f>
        <v>8.824655558477271</v>
      </c>
      <c r="H24" s="172"/>
      <c r="J24" s="164">
        <f>SUM(J5:J23)</f>
        <v>288</v>
      </c>
      <c r="K24" s="164">
        <f>SUM(K5:K23)</f>
        <v>2.762231</v>
      </c>
      <c r="L24" s="164">
        <f>SUM(L5:L22)</f>
        <v>22427.869169019978</v>
      </c>
    </row>
    <row r="26" spans="5:8" ht="18.75">
      <c r="E26" s="169"/>
      <c r="F26" s="169"/>
      <c r="G26" s="169"/>
      <c r="H26" s="169"/>
    </row>
    <row r="28" spans="5:8" ht="18.75">
      <c r="E28" s="169"/>
      <c r="F28" s="169"/>
      <c r="G28" s="169"/>
      <c r="H28" s="169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138"/>
  <sheetViews>
    <sheetView workbookViewId="0" topLeftCell="AH6">
      <selection activeCell="AN10" sqref="AN10"/>
    </sheetView>
  </sheetViews>
  <sheetFormatPr defaultColWidth="11.00390625" defaultRowHeight="12"/>
  <cols>
    <col min="1" max="1" width="23.375" style="105" customWidth="1"/>
    <col min="2" max="2" width="6.125" style="157" customWidth="1"/>
    <col min="3" max="3" width="10.875" style="157" customWidth="1"/>
    <col min="4" max="4" width="10.875" style="105" customWidth="1"/>
    <col min="5" max="5" width="3.50390625" style="105" customWidth="1"/>
    <col min="6" max="6" width="8.375" style="105" customWidth="1"/>
    <col min="7" max="7" width="14.875" style="105" customWidth="1"/>
    <col min="8" max="16384" width="10.875" style="105" customWidth="1"/>
  </cols>
  <sheetData>
    <row r="1" spans="1:8" ht="15.75">
      <c r="A1" s="118"/>
      <c r="C1" s="158"/>
      <c r="D1" s="157"/>
      <c r="H1" s="110"/>
    </row>
    <row r="2" spans="1:8" ht="15.75">
      <c r="A2" s="118"/>
      <c r="D2" s="157"/>
      <c r="H2" s="149"/>
    </row>
    <row r="3" spans="2:8" ht="15.75">
      <c r="B3" s="159"/>
      <c r="D3" s="157"/>
      <c r="E3" s="118"/>
      <c r="G3" s="110"/>
      <c r="H3" s="114"/>
    </row>
    <row r="4" spans="1:3" ht="15.75">
      <c r="A4" s="181" t="s">
        <v>143</v>
      </c>
      <c r="B4" s="105"/>
      <c r="C4" s="105"/>
    </row>
    <row r="5" spans="1:23" ht="15.75">
      <c r="A5" s="104" t="s">
        <v>400</v>
      </c>
      <c r="B5" s="104"/>
      <c r="C5" s="105"/>
      <c r="D5" s="116"/>
      <c r="F5" s="182" t="s">
        <v>254</v>
      </c>
      <c r="G5" s="106"/>
      <c r="K5" s="107" t="s">
        <v>61</v>
      </c>
      <c r="O5" s="108" t="s">
        <v>461</v>
      </c>
      <c r="W5" s="109" t="s">
        <v>482</v>
      </c>
    </row>
    <row r="6" spans="1:39" ht="18.75">
      <c r="A6" s="105" t="s">
        <v>164</v>
      </c>
      <c r="B6" s="105"/>
      <c r="C6" s="105"/>
      <c r="D6" s="151"/>
      <c r="W6" s="109"/>
      <c r="X6" s="109"/>
      <c r="Y6" s="109"/>
      <c r="Z6" s="109"/>
      <c r="AA6" s="109"/>
      <c r="AB6" s="109"/>
      <c r="AC6" s="109"/>
      <c r="AD6" s="109"/>
      <c r="AE6" s="109" t="s">
        <v>24</v>
      </c>
      <c r="AF6" s="109"/>
      <c r="AG6" s="109"/>
      <c r="AH6" s="109"/>
      <c r="AI6" s="109"/>
      <c r="AJ6" s="109"/>
      <c r="AK6" s="109"/>
      <c r="AM6" s="105" t="s">
        <v>25</v>
      </c>
    </row>
    <row r="7" spans="1:39" ht="15.75">
      <c r="A7" s="104" t="s">
        <v>401</v>
      </c>
      <c r="B7" s="105" t="s">
        <v>403</v>
      </c>
      <c r="C7" s="105"/>
      <c r="D7" s="116"/>
      <c r="F7" s="105" t="s">
        <v>520</v>
      </c>
      <c r="G7" s="105" t="s">
        <v>354</v>
      </c>
      <c r="H7" s="105" t="s">
        <v>255</v>
      </c>
      <c r="I7" s="105" t="s">
        <v>403</v>
      </c>
      <c r="K7" s="105" t="s">
        <v>354</v>
      </c>
      <c r="L7" s="105" t="s">
        <v>403</v>
      </c>
      <c r="O7" s="105" t="s">
        <v>224</v>
      </c>
      <c r="P7" s="105" t="s">
        <v>403</v>
      </c>
      <c r="W7" s="109" t="s">
        <v>224</v>
      </c>
      <c r="X7" s="109" t="s">
        <v>403</v>
      </c>
      <c r="Y7" s="109"/>
      <c r="Z7" s="109"/>
      <c r="AA7" s="109"/>
      <c r="AB7" s="109"/>
      <c r="AC7" s="109"/>
      <c r="AD7" s="109"/>
      <c r="AE7" s="109"/>
      <c r="AF7" s="109" t="s">
        <v>403</v>
      </c>
      <c r="AG7" s="109"/>
      <c r="AH7" s="109"/>
      <c r="AI7" s="109"/>
      <c r="AJ7" s="109"/>
      <c r="AK7" s="109"/>
      <c r="AL7" s="112"/>
      <c r="AM7" s="110" t="s">
        <v>26</v>
      </c>
    </row>
    <row r="8" spans="1:43" ht="18.75">
      <c r="A8" s="105">
        <v>5.47</v>
      </c>
      <c r="B8" s="110">
        <f>LOG(A8)</f>
        <v>0.7379873263334308</v>
      </c>
      <c r="C8" s="105"/>
      <c r="D8" s="153"/>
      <c r="F8" s="113" t="s">
        <v>521</v>
      </c>
      <c r="G8" s="113">
        <v>10.8</v>
      </c>
      <c r="K8" s="114">
        <v>10.2</v>
      </c>
      <c r="L8" s="110">
        <f>LOG(K8)</f>
        <v>1.0086001717619175</v>
      </c>
      <c r="O8" s="114">
        <v>13.2</v>
      </c>
      <c r="P8" s="115">
        <f aca="true" t="shared" si="0" ref="P8:P35">LOG(O8)</f>
        <v>1.1205739312058498</v>
      </c>
      <c r="R8" s="115">
        <v>1.1126050015345745</v>
      </c>
      <c r="S8" s="105">
        <v>1</v>
      </c>
      <c r="T8" s="110">
        <f aca="true" t="shared" si="1" ref="T8:T35">(S8-(3/8))/28.25</f>
        <v>0.022123893805309734</v>
      </c>
      <c r="U8" s="110">
        <f aca="true" t="shared" si="2" ref="U8:U35">NORMSINV(T8)</f>
        <v>-2.0117295207455754</v>
      </c>
      <c r="W8" s="146">
        <v>9.6</v>
      </c>
      <c r="X8" s="111">
        <v>0.9822712330395684</v>
      </c>
      <c r="Y8" s="109"/>
      <c r="Z8" s="147">
        <v>0.7781512503836436</v>
      </c>
      <c r="AA8" s="109">
        <v>1</v>
      </c>
      <c r="AB8" s="147">
        <v>0.029411764705882353</v>
      </c>
      <c r="AC8" s="147">
        <v>-1.8895116227213293</v>
      </c>
      <c r="AD8" s="109"/>
      <c r="AE8" s="146">
        <f>AVERAGE(W8,W33,W57,W81)</f>
        <v>9.875</v>
      </c>
      <c r="AF8" s="111">
        <f>LOG(AE8)</f>
        <v>0.9945371042984978</v>
      </c>
      <c r="AG8" s="109"/>
      <c r="AH8" s="147">
        <v>0.7549214096651689</v>
      </c>
      <c r="AI8" s="109">
        <v>1</v>
      </c>
      <c r="AJ8" s="147">
        <v>0.029411764705882353</v>
      </c>
      <c r="AK8" s="147">
        <v>-1.8895116227213293</v>
      </c>
      <c r="AM8" s="105">
        <v>17.4</v>
      </c>
      <c r="AN8" s="110">
        <f>LOG(AM8)</f>
        <v>1.2405492482825997</v>
      </c>
      <c r="AO8" s="105">
        <v>1</v>
      </c>
      <c r="AP8" s="105">
        <f>(AO8-(3/8))/20.25</f>
        <v>0.030864197530864196</v>
      </c>
      <c r="AQ8" s="105">
        <f>NORMSINV(AP8)</f>
        <v>-1.8682385416468605</v>
      </c>
    </row>
    <row r="9" spans="1:43" ht="15.75">
      <c r="A9" s="105">
        <v>7.41</v>
      </c>
      <c r="B9" s="110">
        <f aca="true" t="shared" si="3" ref="B9:B34">LOG(A9)</f>
        <v>0.8698182079793282</v>
      </c>
      <c r="C9" s="105"/>
      <c r="D9" s="116"/>
      <c r="F9" s="113" t="s">
        <v>521</v>
      </c>
      <c r="G9" s="113">
        <v>8.7</v>
      </c>
      <c r="H9" s="105">
        <f>AVERAGE(G8:G9)</f>
        <v>9.75</v>
      </c>
      <c r="I9" s="110">
        <f>LOG(H9)</f>
        <v>0.9890046156985368</v>
      </c>
      <c r="K9" s="114">
        <v>10.5</v>
      </c>
      <c r="L9" s="110">
        <f aca="true" t="shared" si="4" ref="L9:L17">LOG(K9)</f>
        <v>1.021189299069938</v>
      </c>
      <c r="O9" s="114">
        <v>27.06</v>
      </c>
      <c r="P9" s="115">
        <f t="shared" si="0"/>
        <v>1.432327792261604</v>
      </c>
      <c r="R9" s="115">
        <v>1.1205739312058498</v>
      </c>
      <c r="S9" s="105">
        <f aca="true" t="shared" si="5" ref="S9:S35">1+S8</f>
        <v>2</v>
      </c>
      <c r="T9" s="110">
        <f t="shared" si="1"/>
        <v>0.05752212389380531</v>
      </c>
      <c r="U9" s="110">
        <f t="shared" si="2"/>
        <v>-1.5759178495500237</v>
      </c>
      <c r="W9" s="146">
        <v>12</v>
      </c>
      <c r="X9" s="111">
        <v>1.0791812460476249</v>
      </c>
      <c r="Y9" s="109"/>
      <c r="Z9" s="147">
        <v>0.829303772831025</v>
      </c>
      <c r="AA9" s="109">
        <v>2</v>
      </c>
      <c r="AB9" s="147">
        <v>0.07647058823529412</v>
      </c>
      <c r="AC9" s="147">
        <v>-1.4292209016275592</v>
      </c>
      <c r="AD9" s="109"/>
      <c r="AE9" s="146">
        <f aca="true" t="shared" si="6" ref="AE9:AE28">AVERAGE(W9,W34,W58,W82)</f>
        <v>11.975</v>
      </c>
      <c r="AF9" s="111">
        <f aca="true" t="shared" si="7" ref="AF9:AF28">LOG(AE9)</f>
        <v>1.078275522086601</v>
      </c>
      <c r="AG9" s="109"/>
      <c r="AH9" s="147">
        <v>0.8573324964312685</v>
      </c>
      <c r="AI9" s="109">
        <v>2</v>
      </c>
      <c r="AJ9" s="147">
        <v>0.07647058823529412</v>
      </c>
      <c r="AK9" s="147">
        <v>-1.4292209016275592</v>
      </c>
      <c r="AM9" s="105">
        <v>44.4</v>
      </c>
      <c r="AN9" s="110">
        <f aca="true" t="shared" si="8" ref="AN9:AN27">LOG(AM9)</f>
        <v>1.6473829701146196</v>
      </c>
      <c r="AO9" s="105">
        <v>2</v>
      </c>
      <c r="AP9" s="105">
        <f aca="true" t="shared" si="9" ref="AP9:AP27">(AO9-(3/8))/20.25</f>
        <v>0.08024691358024691</v>
      </c>
      <c r="AQ9" s="105">
        <f aca="true" t="shared" si="10" ref="AQ9:AQ40">NORMSINV(AP9)</f>
        <v>-1.4034139894647524</v>
      </c>
    </row>
    <row r="10" spans="1:43" ht="18.75">
      <c r="A10" s="105">
        <v>9.22</v>
      </c>
      <c r="B10" s="110">
        <f t="shared" si="3"/>
        <v>0.9647309210536293</v>
      </c>
      <c r="C10" s="152"/>
      <c r="D10" s="155"/>
      <c r="E10" s="152"/>
      <c r="F10" s="117" t="s">
        <v>522</v>
      </c>
      <c r="G10" s="117">
        <v>7.1</v>
      </c>
      <c r="K10" s="114">
        <v>7.7</v>
      </c>
      <c r="L10" s="110">
        <f t="shared" si="4"/>
        <v>0.8864907251724818</v>
      </c>
      <c r="M10" s="105" t="s">
        <v>141</v>
      </c>
      <c r="O10" s="114">
        <v>30.66</v>
      </c>
      <c r="P10" s="115">
        <f t="shared" si="0"/>
        <v>1.4865721505183562</v>
      </c>
      <c r="R10" s="115">
        <v>1.130333768495006</v>
      </c>
      <c r="S10" s="105">
        <f t="shared" si="5"/>
        <v>3</v>
      </c>
      <c r="T10" s="110">
        <f t="shared" si="1"/>
        <v>0.09292035398230089</v>
      </c>
      <c r="U10" s="110">
        <f t="shared" si="2"/>
        <v>-1.3229828255134635</v>
      </c>
      <c r="W10" s="146">
        <v>11.4</v>
      </c>
      <c r="X10" s="111">
        <v>1.0569048513364725</v>
      </c>
      <c r="Y10" s="109"/>
      <c r="Z10" s="147">
        <v>0.8450980400142568</v>
      </c>
      <c r="AA10" s="109">
        <v>3</v>
      </c>
      <c r="AB10" s="147">
        <v>0.12352941176470589</v>
      </c>
      <c r="AC10" s="147">
        <v>-1.1575230018934235</v>
      </c>
      <c r="AD10" s="109"/>
      <c r="AE10" s="146">
        <f t="shared" si="6"/>
        <v>11.1</v>
      </c>
      <c r="AF10" s="111">
        <f t="shared" si="7"/>
        <v>1.0453229787866574</v>
      </c>
      <c r="AG10" s="109"/>
      <c r="AH10" s="147">
        <v>0.8996837383000321</v>
      </c>
      <c r="AI10" s="109">
        <v>3</v>
      </c>
      <c r="AJ10" s="147">
        <v>0.12352941176470589</v>
      </c>
      <c r="AK10" s="147">
        <v>-1.1575230018934235</v>
      </c>
      <c r="AM10" s="105">
        <v>28.8</v>
      </c>
      <c r="AN10" s="110">
        <f t="shared" si="8"/>
        <v>1.4593924877592308</v>
      </c>
      <c r="AO10" s="105">
        <v>3</v>
      </c>
      <c r="AP10" s="105">
        <f t="shared" si="9"/>
        <v>0.12962962962962962</v>
      </c>
      <c r="AQ10" s="105">
        <f t="shared" si="10"/>
        <v>-1.1281440492894035</v>
      </c>
    </row>
    <row r="11" spans="1:43" ht="15.75">
      <c r="A11" s="105">
        <v>6.66</v>
      </c>
      <c r="B11" s="110">
        <f t="shared" si="3"/>
        <v>0.823474229170301</v>
      </c>
      <c r="C11" s="105"/>
      <c r="D11" s="116"/>
      <c r="F11" s="117" t="s">
        <v>522</v>
      </c>
      <c r="G11" s="117">
        <v>21.5</v>
      </c>
      <c r="K11" s="114">
        <v>6.4</v>
      </c>
      <c r="L11" s="110">
        <f t="shared" si="4"/>
        <v>0.8061799739838872</v>
      </c>
      <c r="M11" s="110">
        <f>AVERAGE(L8:L17)</f>
        <v>0.9697497792264992</v>
      </c>
      <c r="O11" s="114">
        <v>19.32</v>
      </c>
      <c r="P11" s="115">
        <f t="shared" si="0"/>
        <v>1.2860071220794747</v>
      </c>
      <c r="R11" s="115">
        <v>1.167317334748176</v>
      </c>
      <c r="S11" s="105">
        <f t="shared" si="5"/>
        <v>4</v>
      </c>
      <c r="T11" s="110">
        <f t="shared" si="1"/>
        <v>0.12831858407079647</v>
      </c>
      <c r="U11" s="110">
        <f t="shared" si="2"/>
        <v>-1.1343763617333025</v>
      </c>
      <c r="W11" s="146">
        <v>7.7</v>
      </c>
      <c r="X11" s="111">
        <v>0.8864907251724818</v>
      </c>
      <c r="Y11" s="109"/>
      <c r="Z11" s="147">
        <v>0.8808135922807914</v>
      </c>
      <c r="AA11" s="109">
        <v>4</v>
      </c>
      <c r="AB11" s="147">
        <v>0.17058823529411765</v>
      </c>
      <c r="AC11" s="147">
        <v>-0.9518430488242302</v>
      </c>
      <c r="AD11" s="109"/>
      <c r="AE11" s="146">
        <f t="shared" si="6"/>
        <v>8.0875</v>
      </c>
      <c r="AF11" s="111">
        <f t="shared" si="7"/>
        <v>0.9078142936767567</v>
      </c>
      <c r="AG11" s="109"/>
      <c r="AH11" s="147">
        <v>0.9078142936767567</v>
      </c>
      <c r="AI11" s="109">
        <v>4</v>
      </c>
      <c r="AJ11" s="147">
        <v>0.17058823529411765</v>
      </c>
      <c r="AK11" s="147">
        <v>-0.9518430488242302</v>
      </c>
      <c r="AM11" s="105">
        <v>30.6</v>
      </c>
      <c r="AN11" s="110">
        <f t="shared" si="8"/>
        <v>1.4857214264815801</v>
      </c>
      <c r="AO11" s="105">
        <v>4</v>
      </c>
      <c r="AP11" s="105">
        <f t="shared" si="9"/>
        <v>0.17901234567901234</v>
      </c>
      <c r="AQ11" s="105">
        <f t="shared" si="10"/>
        <v>-0.9191353456117213</v>
      </c>
    </row>
    <row r="12" spans="1:43" ht="18.75">
      <c r="A12" s="105">
        <v>6.65</v>
      </c>
      <c r="B12" s="110">
        <f t="shared" si="3"/>
        <v>0.8228216453031046</v>
      </c>
      <c r="C12" s="154"/>
      <c r="D12" s="156"/>
      <c r="E12" s="154"/>
      <c r="F12" s="117" t="s">
        <v>522</v>
      </c>
      <c r="G12" s="117">
        <v>16.2</v>
      </c>
      <c r="K12" s="114">
        <v>9.6</v>
      </c>
      <c r="L12" s="110">
        <f t="shared" si="4"/>
        <v>0.9822712330395684</v>
      </c>
      <c r="M12" s="118" t="s">
        <v>598</v>
      </c>
      <c r="O12" s="114">
        <v>19.38</v>
      </c>
      <c r="P12" s="115">
        <f t="shared" si="0"/>
        <v>1.2873537727147464</v>
      </c>
      <c r="R12" s="115">
        <v>1.1760912590556811</v>
      </c>
      <c r="S12" s="105">
        <f t="shared" si="5"/>
        <v>5</v>
      </c>
      <c r="T12" s="110">
        <f t="shared" si="1"/>
        <v>0.16371681415929204</v>
      </c>
      <c r="U12" s="110">
        <f t="shared" si="2"/>
        <v>-0.979296146397246</v>
      </c>
      <c r="W12" s="146">
        <v>8.4</v>
      </c>
      <c r="X12" s="111">
        <v>0.9242792860618816</v>
      </c>
      <c r="Y12" s="109"/>
      <c r="Z12" s="147">
        <v>0.8864907251724818</v>
      </c>
      <c r="AA12" s="109">
        <v>5</v>
      </c>
      <c r="AB12" s="147">
        <v>0.21764705882352942</v>
      </c>
      <c r="AC12" s="147">
        <v>-0.7801645551808178</v>
      </c>
      <c r="AD12" s="109"/>
      <c r="AE12" s="146">
        <f t="shared" si="6"/>
        <v>8.6</v>
      </c>
      <c r="AF12" s="111">
        <f t="shared" si="7"/>
        <v>0.9344984512435677</v>
      </c>
      <c r="AG12" s="109"/>
      <c r="AH12" s="147">
        <v>0.9255699095433761</v>
      </c>
      <c r="AI12" s="109">
        <v>5</v>
      </c>
      <c r="AJ12" s="147">
        <v>0.21764705882352942</v>
      </c>
      <c r="AK12" s="147">
        <v>-0.7801645551808178</v>
      </c>
      <c r="AM12" s="105">
        <v>13.2</v>
      </c>
      <c r="AN12" s="110">
        <f t="shared" si="8"/>
        <v>1.1205739312058498</v>
      </c>
      <c r="AO12" s="105">
        <v>5</v>
      </c>
      <c r="AP12" s="105">
        <f t="shared" si="9"/>
        <v>0.22839506172839505</v>
      </c>
      <c r="AQ12" s="105">
        <f t="shared" si="10"/>
        <v>-0.7441417437803466</v>
      </c>
    </row>
    <row r="13" spans="1:43" ht="15.75">
      <c r="A13" s="105">
        <v>5.99</v>
      </c>
      <c r="B13" s="110">
        <f t="shared" si="3"/>
        <v>0.7774268223893114</v>
      </c>
      <c r="C13" s="105"/>
      <c r="D13" s="113"/>
      <c r="F13" s="117" t="s">
        <v>522</v>
      </c>
      <c r="G13" s="117">
        <v>19</v>
      </c>
      <c r="K13" s="114">
        <v>11.3</v>
      </c>
      <c r="L13" s="110">
        <f t="shared" si="4"/>
        <v>1.0530784434834197</v>
      </c>
      <c r="M13" s="114">
        <f>AVERAGE(K8:K17)</f>
        <v>9.45</v>
      </c>
      <c r="O13" s="114">
        <v>19.44</v>
      </c>
      <c r="P13" s="115">
        <f t="shared" si="0"/>
        <v>1.2886962605902557</v>
      </c>
      <c r="R13" s="115">
        <v>1.2030328870147107</v>
      </c>
      <c r="S13" s="105">
        <f t="shared" si="5"/>
        <v>6</v>
      </c>
      <c r="T13" s="110">
        <f t="shared" si="1"/>
        <v>0.19911504424778761</v>
      </c>
      <c r="U13" s="110">
        <f t="shared" si="2"/>
        <v>-0.8447864274785388</v>
      </c>
      <c r="W13" s="146">
        <v>11.2</v>
      </c>
      <c r="X13" s="111">
        <v>1.0492180226701817</v>
      </c>
      <c r="Y13" s="109"/>
      <c r="Z13" s="147">
        <v>0.9030899869919435</v>
      </c>
      <c r="AA13" s="109">
        <v>6</v>
      </c>
      <c r="AB13" s="147">
        <v>0.2647058823529412</v>
      </c>
      <c r="AC13" s="147">
        <v>-0.6289042175922077</v>
      </c>
      <c r="AD13" s="109"/>
      <c r="AE13" s="146">
        <f t="shared" si="6"/>
        <v>11.25</v>
      </c>
      <c r="AF13" s="111">
        <f t="shared" si="7"/>
        <v>1.0511525224473812</v>
      </c>
      <c r="AG13" s="109"/>
      <c r="AH13" s="147">
        <v>0.9344984512435677</v>
      </c>
      <c r="AI13" s="109">
        <v>6</v>
      </c>
      <c r="AJ13" s="147">
        <v>0.2647058823529412</v>
      </c>
      <c r="AK13" s="147">
        <v>-0.6289042175922077</v>
      </c>
      <c r="AM13" s="105">
        <v>21</v>
      </c>
      <c r="AN13" s="110">
        <f t="shared" si="8"/>
        <v>1.3222192947339193</v>
      </c>
      <c r="AO13" s="105">
        <v>6</v>
      </c>
      <c r="AP13" s="105">
        <f t="shared" si="9"/>
        <v>0.2777777777777778</v>
      </c>
      <c r="AQ13" s="105">
        <f t="shared" si="10"/>
        <v>-0.589454884902807</v>
      </c>
    </row>
    <row r="14" spans="1:43" ht="15.75">
      <c r="A14" s="105">
        <v>8.19</v>
      </c>
      <c r="B14" s="110">
        <f t="shared" si="3"/>
        <v>0.9132839017604184</v>
      </c>
      <c r="C14" s="113"/>
      <c r="D14" s="116"/>
      <c r="F14" s="117" t="s">
        <v>522</v>
      </c>
      <c r="G14" s="117">
        <v>9.8</v>
      </c>
      <c r="K14" s="114">
        <v>10.7</v>
      </c>
      <c r="L14" s="110">
        <f t="shared" si="4"/>
        <v>1.0293837776852095</v>
      </c>
      <c r="M14" s="118" t="s">
        <v>59</v>
      </c>
      <c r="O14" s="114">
        <v>16.5</v>
      </c>
      <c r="P14" s="115">
        <f t="shared" si="0"/>
        <v>1.2174839442139063</v>
      </c>
      <c r="R14" s="115">
        <v>1.2174839442139063</v>
      </c>
      <c r="S14" s="105">
        <f t="shared" si="5"/>
        <v>7</v>
      </c>
      <c r="T14" s="110">
        <f t="shared" si="1"/>
        <v>0.2345132743362832</v>
      </c>
      <c r="U14" s="110">
        <f t="shared" si="2"/>
        <v>-0.724063511370332</v>
      </c>
      <c r="W14" s="146">
        <v>8.4</v>
      </c>
      <c r="X14" s="111">
        <v>0.9242792860618816</v>
      </c>
      <c r="Y14" s="109"/>
      <c r="Z14" s="147">
        <v>0.9242792860618816</v>
      </c>
      <c r="AA14" s="109">
        <v>7</v>
      </c>
      <c r="AB14" s="147">
        <v>0.31176470588235294</v>
      </c>
      <c r="AC14" s="147">
        <v>-0.49085429054684937</v>
      </c>
      <c r="AD14" s="109"/>
      <c r="AE14" s="146">
        <f t="shared" si="6"/>
        <v>9.125</v>
      </c>
      <c r="AF14" s="111">
        <f t="shared" si="7"/>
        <v>0.9602328731285122</v>
      </c>
      <c r="AG14" s="109"/>
      <c r="AH14" s="147">
        <v>0.9578466337081502</v>
      </c>
      <c r="AI14" s="109">
        <v>7</v>
      </c>
      <c r="AJ14" s="147">
        <v>0.31176470588235294</v>
      </c>
      <c r="AK14" s="147">
        <v>-0.49085429054684937</v>
      </c>
      <c r="AM14" s="105">
        <v>16.8</v>
      </c>
      <c r="AN14" s="110">
        <f t="shared" si="8"/>
        <v>1.2253092817258628</v>
      </c>
      <c r="AO14" s="105">
        <v>7</v>
      </c>
      <c r="AP14" s="105">
        <f t="shared" si="9"/>
        <v>0.3271604938271605</v>
      </c>
      <c r="AQ14" s="105">
        <f t="shared" si="10"/>
        <v>-0.4477669790503569</v>
      </c>
    </row>
    <row r="15" spans="1:58" ht="15.75">
      <c r="A15" s="105">
        <v>4.89</v>
      </c>
      <c r="B15" s="110">
        <f t="shared" si="3"/>
        <v>0.6893088591236202</v>
      </c>
      <c r="C15" s="113"/>
      <c r="F15" s="117" t="s">
        <v>522</v>
      </c>
      <c r="G15" s="117">
        <v>15.1</v>
      </c>
      <c r="H15" s="110">
        <f>AVERAGE(G10:G15)</f>
        <v>14.783333333333331</v>
      </c>
      <c r="I15" s="110">
        <f>LOG(H15)</f>
        <v>1.1697723694480828</v>
      </c>
      <c r="K15" s="114">
        <v>9.8</v>
      </c>
      <c r="L15" s="110">
        <f t="shared" si="4"/>
        <v>0.9912260756924949</v>
      </c>
      <c r="M15" s="115">
        <f>STDEV(L8:L17)</f>
        <v>0.07633487796877564</v>
      </c>
      <c r="O15" s="114">
        <v>16.74</v>
      </c>
      <c r="P15" s="115">
        <f t="shared" si="0"/>
        <v>1.223755453657241</v>
      </c>
      <c r="R15" s="115">
        <v>1.223755453657241</v>
      </c>
      <c r="S15" s="105">
        <f t="shared" si="5"/>
        <v>8</v>
      </c>
      <c r="T15" s="110">
        <f t="shared" si="1"/>
        <v>0.26991150442477874</v>
      </c>
      <c r="U15" s="110">
        <f t="shared" si="2"/>
        <v>-0.6130812835181132</v>
      </c>
      <c r="W15" s="146">
        <v>6.75</v>
      </c>
      <c r="X15" s="111">
        <v>0.829303772831025</v>
      </c>
      <c r="Y15" s="109"/>
      <c r="Z15" s="147">
        <v>0.9242792860618816</v>
      </c>
      <c r="AA15" s="109">
        <v>8</v>
      </c>
      <c r="AB15" s="147">
        <v>0.3588235294117647</v>
      </c>
      <c r="AC15" s="147">
        <v>-0.36160599847789854</v>
      </c>
      <c r="AD15" s="109"/>
      <c r="AE15" s="146">
        <f t="shared" si="6"/>
        <v>7.9375</v>
      </c>
      <c r="AF15" s="111">
        <f t="shared" si="7"/>
        <v>0.8996837383000321</v>
      </c>
      <c r="AG15" s="109"/>
      <c r="AH15" s="147">
        <v>0.9602328731285122</v>
      </c>
      <c r="AI15" s="109">
        <v>8</v>
      </c>
      <c r="AJ15" s="147">
        <v>0.3588235294117647</v>
      </c>
      <c r="AK15" s="147">
        <v>-0.36160599847789854</v>
      </c>
      <c r="AM15" s="105">
        <v>25.2</v>
      </c>
      <c r="AN15" s="110">
        <f t="shared" si="8"/>
        <v>1.401400540781544</v>
      </c>
      <c r="AO15" s="105">
        <v>8</v>
      </c>
      <c r="AP15" s="105">
        <f t="shared" si="9"/>
        <v>0.3765432098765432</v>
      </c>
      <c r="AQ15" s="105">
        <f t="shared" si="10"/>
        <v>-0.31457261684408877</v>
      </c>
      <c r="AU15" s="116"/>
      <c r="AW15" s="116"/>
      <c r="AY15" s="116"/>
      <c r="BF15" s="115"/>
    </row>
    <row r="16" spans="1:58" ht="18.75">
      <c r="A16" s="105">
        <v>5.36</v>
      </c>
      <c r="B16" s="110">
        <f t="shared" si="3"/>
        <v>0.7291647896927701</v>
      </c>
      <c r="C16" s="105"/>
      <c r="F16" s="119" t="s">
        <v>523</v>
      </c>
      <c r="G16" s="119">
        <v>17.5</v>
      </c>
      <c r="K16" s="114">
        <v>10</v>
      </c>
      <c r="L16" s="110">
        <f t="shared" si="4"/>
        <v>1</v>
      </c>
      <c r="M16" s="118" t="s">
        <v>126</v>
      </c>
      <c r="O16" s="114">
        <v>23.58</v>
      </c>
      <c r="P16" s="115">
        <f t="shared" si="0"/>
        <v>1.3725438007590702</v>
      </c>
      <c r="R16" s="115">
        <v>1.2375437381428744</v>
      </c>
      <c r="S16" s="105">
        <f t="shared" si="5"/>
        <v>9</v>
      </c>
      <c r="T16" s="110">
        <f t="shared" si="1"/>
        <v>0.3053097345132743</v>
      </c>
      <c r="U16" s="110">
        <f t="shared" si="2"/>
        <v>-0.5091897037345916</v>
      </c>
      <c r="W16" s="146">
        <v>9.6</v>
      </c>
      <c r="X16" s="111">
        <v>0.9822712330395684</v>
      </c>
      <c r="Y16" s="109"/>
      <c r="Z16" s="147">
        <v>0.954242509439325</v>
      </c>
      <c r="AA16" s="109">
        <v>9</v>
      </c>
      <c r="AB16" s="147">
        <v>0.40588235294117647</v>
      </c>
      <c r="AC16" s="147">
        <v>-0.23815005079086404</v>
      </c>
      <c r="AD16" s="109"/>
      <c r="AE16" s="146">
        <f t="shared" si="6"/>
        <v>10.3</v>
      </c>
      <c r="AF16" s="111">
        <f t="shared" si="7"/>
        <v>1.0128372247051722</v>
      </c>
      <c r="AG16" s="109"/>
      <c r="AH16" s="147">
        <v>0.9614210940664482</v>
      </c>
      <c r="AI16" s="109">
        <v>9</v>
      </c>
      <c r="AJ16" s="147">
        <v>0.40588235294117647</v>
      </c>
      <c r="AK16" s="147">
        <v>-0.23815005079086404</v>
      </c>
      <c r="AM16" s="105">
        <v>16.2</v>
      </c>
      <c r="AN16" s="110">
        <f t="shared" si="8"/>
        <v>1.2095150145426308</v>
      </c>
      <c r="AO16" s="105">
        <v>9</v>
      </c>
      <c r="AP16" s="105">
        <f t="shared" si="9"/>
        <v>0.42592592592592593</v>
      </c>
      <c r="AQ16" s="105">
        <f t="shared" si="10"/>
        <v>-0.18675564206205308</v>
      </c>
      <c r="AS16" s="116"/>
      <c r="AU16" s="151" t="s">
        <v>228</v>
      </c>
      <c r="AW16" s="151" t="s">
        <v>228</v>
      </c>
      <c r="AY16" s="151" t="s">
        <v>228</v>
      </c>
      <c r="BF16" s="115"/>
    </row>
    <row r="17" spans="1:58" ht="18.75">
      <c r="A17" s="105">
        <v>7.64</v>
      </c>
      <c r="B17" s="110">
        <f t="shared" si="3"/>
        <v>0.8830933585756898</v>
      </c>
      <c r="C17" s="105"/>
      <c r="F17" s="119" t="s">
        <v>523</v>
      </c>
      <c r="G17" s="119">
        <v>16.2</v>
      </c>
      <c r="K17" s="114">
        <v>8.3</v>
      </c>
      <c r="L17" s="110">
        <f t="shared" si="4"/>
        <v>0.919078092376074</v>
      </c>
      <c r="M17" s="115">
        <f>POWER(10,M15)</f>
        <v>1.1921609111242957</v>
      </c>
      <c r="O17" s="114">
        <v>21.18</v>
      </c>
      <c r="P17" s="115">
        <f t="shared" si="0"/>
        <v>1.3259259557714662</v>
      </c>
      <c r="R17" s="115">
        <v>1.2405492482825997</v>
      </c>
      <c r="S17" s="105">
        <f t="shared" si="5"/>
        <v>10</v>
      </c>
      <c r="T17" s="110">
        <f t="shared" si="1"/>
        <v>0.3407079646017699</v>
      </c>
      <c r="U17" s="110">
        <f t="shared" si="2"/>
        <v>-0.4105322659597732</v>
      </c>
      <c r="W17" s="146">
        <v>7.6</v>
      </c>
      <c r="X17" s="111">
        <v>0.8808135922807914</v>
      </c>
      <c r="Y17" s="109"/>
      <c r="Z17" s="147">
        <v>0.9590413923210935</v>
      </c>
      <c r="AA17" s="109">
        <v>10</v>
      </c>
      <c r="AB17" s="147">
        <v>0.45294117647058824</v>
      </c>
      <c r="AC17" s="147">
        <v>-0.11823431123048067</v>
      </c>
      <c r="AD17" s="109"/>
      <c r="AE17" s="146">
        <f t="shared" si="6"/>
        <v>9.15</v>
      </c>
      <c r="AF17" s="111">
        <f t="shared" si="7"/>
        <v>0.9614210940664483</v>
      </c>
      <c r="AG17" s="109"/>
      <c r="AH17" s="147">
        <v>0.9614210940664483</v>
      </c>
      <c r="AI17" s="109">
        <v>10</v>
      </c>
      <c r="AJ17" s="147">
        <v>0.45294117647058824</v>
      </c>
      <c r="AK17" s="147">
        <v>-0.11823431123048067</v>
      </c>
      <c r="AM17" s="105">
        <v>21.6</v>
      </c>
      <c r="AN17" s="110">
        <f t="shared" si="8"/>
        <v>1.334453751150931</v>
      </c>
      <c r="AO17" s="105">
        <v>10</v>
      </c>
      <c r="AP17" s="105">
        <f t="shared" si="9"/>
        <v>0.47530864197530864</v>
      </c>
      <c r="AQ17" s="105">
        <f t="shared" si="10"/>
        <v>-0.06193204171722755</v>
      </c>
      <c r="AS17" s="151"/>
      <c r="AU17" s="116"/>
      <c r="AW17" s="116"/>
      <c r="AY17" s="116"/>
      <c r="BF17" s="115"/>
    </row>
    <row r="18" spans="1:51" ht="18.75">
      <c r="A18" s="105">
        <v>4.4</v>
      </c>
      <c r="B18" s="110">
        <f t="shared" si="3"/>
        <v>0.6434526764861874</v>
      </c>
      <c r="C18" s="105"/>
      <c r="F18" s="119" t="s">
        <v>523</v>
      </c>
      <c r="G18" s="119">
        <v>15.2</v>
      </c>
      <c r="O18" s="114">
        <v>18.54</v>
      </c>
      <c r="P18" s="115">
        <f t="shared" si="0"/>
        <v>1.2681097298084782</v>
      </c>
      <c r="R18" s="115">
        <v>1.256717745977487</v>
      </c>
      <c r="S18" s="105">
        <f t="shared" si="5"/>
        <v>11</v>
      </c>
      <c r="T18" s="110">
        <f t="shared" si="1"/>
        <v>0.37610619469026546</v>
      </c>
      <c r="U18" s="110">
        <f t="shared" si="2"/>
        <v>-0.31572426451020874</v>
      </c>
      <c r="W18" s="146">
        <v>12</v>
      </c>
      <c r="X18" s="111">
        <v>1.0791812460476249</v>
      </c>
      <c r="Y18" s="109"/>
      <c r="Z18" s="147">
        <v>0.9822712330395684</v>
      </c>
      <c r="AA18" s="109">
        <v>11</v>
      </c>
      <c r="AB18" s="147">
        <v>0.5</v>
      </c>
      <c r="AC18" s="147">
        <v>0</v>
      </c>
      <c r="AD18" s="109"/>
      <c r="AE18" s="146">
        <f t="shared" si="6"/>
        <v>11</v>
      </c>
      <c r="AF18" s="111">
        <f t="shared" si="7"/>
        <v>1.0413926851582251</v>
      </c>
      <c r="AG18" s="109"/>
      <c r="AH18" s="147">
        <v>0.9945371042984978</v>
      </c>
      <c r="AI18" s="109">
        <v>11</v>
      </c>
      <c r="AJ18" s="147">
        <v>0.5</v>
      </c>
      <c r="AK18" s="147">
        <v>0</v>
      </c>
      <c r="AM18" s="105">
        <v>18.6</v>
      </c>
      <c r="AN18" s="110">
        <f t="shared" si="8"/>
        <v>1.2695129442179163</v>
      </c>
      <c r="AO18" s="105">
        <v>11</v>
      </c>
      <c r="AP18" s="105">
        <f t="shared" si="9"/>
        <v>0.5246913580246914</v>
      </c>
      <c r="AQ18" s="105">
        <f t="shared" si="10"/>
        <v>0.06193204171722755</v>
      </c>
      <c r="AS18" s="116"/>
      <c r="AU18" s="153" t="s">
        <v>228</v>
      </c>
      <c r="AW18" s="153" t="s">
        <v>228</v>
      </c>
      <c r="AY18" s="153" t="s">
        <v>228</v>
      </c>
    </row>
    <row r="19" spans="1:51" ht="18.75">
      <c r="A19" s="105">
        <v>10</v>
      </c>
      <c r="B19" s="110">
        <f t="shared" si="3"/>
        <v>1</v>
      </c>
      <c r="C19" s="105"/>
      <c r="F19" s="119" t="s">
        <v>523</v>
      </c>
      <c r="G19" s="119">
        <v>17</v>
      </c>
      <c r="O19" s="114">
        <v>18.9</v>
      </c>
      <c r="P19" s="115">
        <f t="shared" si="0"/>
        <v>1.276461804173244</v>
      </c>
      <c r="R19" s="115">
        <v>1.2681097298084782</v>
      </c>
      <c r="S19" s="105">
        <f t="shared" si="5"/>
        <v>12</v>
      </c>
      <c r="T19" s="110">
        <f t="shared" si="1"/>
        <v>0.41150442477876104</v>
      </c>
      <c r="U19" s="110">
        <f t="shared" si="2"/>
        <v>-0.2236765794805251</v>
      </c>
      <c r="W19" s="146">
        <v>8</v>
      </c>
      <c r="X19" s="111">
        <v>0.9030899869919435</v>
      </c>
      <c r="Y19" s="109"/>
      <c r="Z19" s="147">
        <v>0.9822712330395684</v>
      </c>
      <c r="AA19" s="109">
        <v>12</v>
      </c>
      <c r="AB19" s="147">
        <v>0.5470588235294118</v>
      </c>
      <c r="AC19" s="147">
        <v>0.11823431123048067</v>
      </c>
      <c r="AD19" s="109"/>
      <c r="AE19" s="146">
        <f t="shared" si="6"/>
        <v>8.425</v>
      </c>
      <c r="AF19" s="111">
        <f t="shared" si="7"/>
        <v>0.9255699095433761</v>
      </c>
      <c r="AG19" s="109"/>
      <c r="AH19" s="147">
        <v>0.9989129043587858</v>
      </c>
      <c r="AI19" s="109">
        <v>12</v>
      </c>
      <c r="AJ19" s="147">
        <v>0.5470588235294118</v>
      </c>
      <c r="AK19" s="147">
        <v>0.11823431123048067</v>
      </c>
      <c r="AM19" s="105">
        <v>21</v>
      </c>
      <c r="AN19" s="110">
        <f t="shared" si="8"/>
        <v>1.3222192947339193</v>
      </c>
      <c r="AO19" s="105">
        <v>12</v>
      </c>
      <c r="AP19" s="105">
        <f t="shared" si="9"/>
        <v>0.5740740740740741</v>
      </c>
      <c r="AQ19" s="105">
        <f t="shared" si="10"/>
        <v>0.18675564206205308</v>
      </c>
      <c r="AS19" s="153"/>
      <c r="AU19" s="116"/>
      <c r="AW19" s="116"/>
      <c r="AY19" s="116"/>
    </row>
    <row r="20" spans="1:51" ht="18.75">
      <c r="A20" s="105">
        <v>6.78</v>
      </c>
      <c r="B20" s="110">
        <f t="shared" si="3"/>
        <v>0.8312296938670634</v>
      </c>
      <c r="C20" s="105"/>
      <c r="F20" s="119" t="s">
        <v>523</v>
      </c>
      <c r="G20" s="119">
        <v>16.1</v>
      </c>
      <c r="K20" s="110"/>
      <c r="M20" s="110"/>
      <c r="N20" s="110"/>
      <c r="O20" s="114">
        <v>18.06</v>
      </c>
      <c r="P20" s="115">
        <f t="shared" si="0"/>
        <v>1.256717745977487</v>
      </c>
      <c r="R20" s="115">
        <v>1.2681097298084782</v>
      </c>
      <c r="S20" s="105">
        <f t="shared" si="5"/>
        <v>13</v>
      </c>
      <c r="T20" s="110">
        <f t="shared" si="1"/>
        <v>0.4469026548672566</v>
      </c>
      <c r="U20" s="110">
        <f t="shared" si="2"/>
        <v>-0.13349108485272154</v>
      </c>
      <c r="W20" s="146">
        <v>12.8</v>
      </c>
      <c r="X20" s="111">
        <v>1.1072099696478683</v>
      </c>
      <c r="Y20" s="109"/>
      <c r="Z20" s="147">
        <v>0.9822712330395684</v>
      </c>
      <c r="AA20" s="109">
        <v>13</v>
      </c>
      <c r="AB20" s="147">
        <v>0.5941176470588235</v>
      </c>
      <c r="AC20" s="147">
        <v>0.23815005079086404</v>
      </c>
      <c r="AD20" s="109"/>
      <c r="AE20" s="146">
        <f t="shared" si="6"/>
        <v>11.149999999999999</v>
      </c>
      <c r="AF20" s="111">
        <f t="shared" si="7"/>
        <v>1.0472748673841794</v>
      </c>
      <c r="AG20" s="109"/>
      <c r="AH20" s="147">
        <v>1.0021660617565078</v>
      </c>
      <c r="AI20" s="109">
        <v>13</v>
      </c>
      <c r="AJ20" s="147">
        <v>0.5941176470588235</v>
      </c>
      <c r="AK20" s="147">
        <v>0.23815005079086404</v>
      </c>
      <c r="AM20" s="105">
        <v>16.2</v>
      </c>
      <c r="AN20" s="110">
        <f t="shared" si="8"/>
        <v>1.2095150145426308</v>
      </c>
      <c r="AO20" s="105">
        <v>13</v>
      </c>
      <c r="AP20" s="105">
        <f t="shared" si="9"/>
        <v>0.6234567901234568</v>
      </c>
      <c r="AQ20" s="105">
        <f t="shared" si="10"/>
        <v>0.31457261684408877</v>
      </c>
      <c r="AR20" s="105" t="s">
        <v>141</v>
      </c>
      <c r="AS20" s="116"/>
      <c r="AU20" s="155" t="s">
        <v>228</v>
      </c>
      <c r="AW20" s="155" t="s">
        <v>228</v>
      </c>
      <c r="AY20" s="155" t="s">
        <v>228</v>
      </c>
    </row>
    <row r="21" spans="1:51" ht="18.75">
      <c r="A21" s="105">
        <v>6.87</v>
      </c>
      <c r="B21" s="110">
        <f t="shared" si="3"/>
        <v>0.8369567370595504</v>
      </c>
      <c r="C21" s="105"/>
      <c r="F21" s="119" t="s">
        <v>523</v>
      </c>
      <c r="G21" s="119">
        <v>17.3</v>
      </c>
      <c r="K21" s="110"/>
      <c r="M21" s="110"/>
      <c r="N21" s="110"/>
      <c r="O21" s="114">
        <v>12.96</v>
      </c>
      <c r="P21" s="115">
        <f t="shared" si="0"/>
        <v>1.1126050015345745</v>
      </c>
      <c r="R21" s="115">
        <v>1.2723058444020865</v>
      </c>
      <c r="S21" s="105">
        <f t="shared" si="5"/>
        <v>14</v>
      </c>
      <c r="T21" s="110">
        <f t="shared" si="1"/>
        <v>0.4823008849557522</v>
      </c>
      <c r="U21" s="110">
        <f t="shared" si="2"/>
        <v>-0.04437879397301003</v>
      </c>
      <c r="W21" s="146">
        <v>12</v>
      </c>
      <c r="X21" s="111">
        <v>1.0791812460476249</v>
      </c>
      <c r="Y21" s="109" t="s">
        <v>139</v>
      </c>
      <c r="Z21" s="147">
        <v>1.021189299069938</v>
      </c>
      <c r="AA21" s="109">
        <v>14</v>
      </c>
      <c r="AB21" s="147">
        <v>0.6411764705882353</v>
      </c>
      <c r="AC21" s="147">
        <v>0.36160599847789854</v>
      </c>
      <c r="AD21" s="109"/>
      <c r="AE21" s="146">
        <f t="shared" si="6"/>
        <v>11.95</v>
      </c>
      <c r="AF21" s="111">
        <f t="shared" si="7"/>
        <v>1.0773679052841565</v>
      </c>
      <c r="AG21" s="109" t="s">
        <v>141</v>
      </c>
      <c r="AH21" s="147">
        <v>1.0128372247051722</v>
      </c>
      <c r="AI21" s="109">
        <v>14</v>
      </c>
      <c r="AJ21" s="147">
        <v>0.6411764705882353</v>
      </c>
      <c r="AK21" s="147">
        <v>0.36160599847789854</v>
      </c>
      <c r="AM21" s="105">
        <v>16.8</v>
      </c>
      <c r="AN21" s="110">
        <f t="shared" si="8"/>
        <v>1.2253092817258628</v>
      </c>
      <c r="AO21" s="105">
        <v>14</v>
      </c>
      <c r="AP21" s="105">
        <f t="shared" si="9"/>
        <v>0.6728395061728395</v>
      </c>
      <c r="AQ21" s="105">
        <f t="shared" si="10"/>
        <v>0.4477669790503569</v>
      </c>
      <c r="AR21" s="110">
        <f>AVERAGE(AN8:AN27)</f>
        <v>1.333185031487968</v>
      </c>
      <c r="AS21" s="155"/>
      <c r="AU21" s="116"/>
      <c r="AW21" s="116"/>
      <c r="AY21" s="116"/>
    </row>
    <row r="22" spans="1:51" ht="18.75">
      <c r="A22" s="105">
        <v>8.3</v>
      </c>
      <c r="B22" s="110">
        <f t="shared" si="3"/>
        <v>0.919078092376074</v>
      </c>
      <c r="C22" s="105"/>
      <c r="F22" s="119" t="s">
        <v>523</v>
      </c>
      <c r="G22" s="119">
        <v>11.1</v>
      </c>
      <c r="K22" s="110"/>
      <c r="M22" s="110"/>
      <c r="N22" s="110"/>
      <c r="O22" s="114">
        <v>25.98</v>
      </c>
      <c r="P22" s="115">
        <f t="shared" si="0"/>
        <v>1.4146391467370092</v>
      </c>
      <c r="R22" s="115">
        <v>1.276461804173244</v>
      </c>
      <c r="S22" s="105">
        <f t="shared" si="5"/>
        <v>15</v>
      </c>
      <c r="T22" s="110">
        <f t="shared" si="1"/>
        <v>0.5176991150442478</v>
      </c>
      <c r="U22" s="110">
        <f t="shared" si="2"/>
        <v>0.04437879397301003</v>
      </c>
      <c r="W22" s="146">
        <v>6</v>
      </c>
      <c r="X22" s="111">
        <v>0.7781512503836436</v>
      </c>
      <c r="Y22" s="146">
        <f>MEDIAN(W8:W28)</f>
        <v>9.6</v>
      </c>
      <c r="Z22" s="147">
        <v>1.0492180226701817</v>
      </c>
      <c r="AA22" s="109">
        <v>15</v>
      </c>
      <c r="AB22" s="147">
        <v>0.6882352941176471</v>
      </c>
      <c r="AC22" s="147">
        <v>0.49085429054684937</v>
      </c>
      <c r="AD22" s="109"/>
      <c r="AE22" s="146">
        <f t="shared" si="6"/>
        <v>5.6875</v>
      </c>
      <c r="AF22" s="111">
        <f t="shared" si="7"/>
        <v>0.7549214096651689</v>
      </c>
      <c r="AG22" s="111">
        <f>AVERAGE(AF8:AF28)</f>
        <v>0.9786175627146088</v>
      </c>
      <c r="AH22" s="147">
        <v>1.0413926851582251</v>
      </c>
      <c r="AI22" s="109">
        <v>15</v>
      </c>
      <c r="AJ22" s="147">
        <v>0.6882352941176471</v>
      </c>
      <c r="AK22" s="147">
        <v>0.49085429054684937</v>
      </c>
      <c r="AM22" s="105">
        <v>21</v>
      </c>
      <c r="AN22" s="110">
        <f t="shared" si="8"/>
        <v>1.3222192947339193</v>
      </c>
      <c r="AO22" s="105">
        <v>15</v>
      </c>
      <c r="AP22" s="105">
        <f t="shared" si="9"/>
        <v>0.7222222222222222</v>
      </c>
      <c r="AQ22" s="105">
        <f t="shared" si="10"/>
        <v>0.589454884902807</v>
      </c>
      <c r="AR22" s="118" t="s">
        <v>598</v>
      </c>
      <c r="AS22" s="116"/>
      <c r="AU22" s="156" t="s">
        <v>228</v>
      </c>
      <c r="AW22" s="156" t="s">
        <v>228</v>
      </c>
      <c r="AY22" s="156" t="s">
        <v>228</v>
      </c>
    </row>
    <row r="23" spans="1:51" ht="18.75">
      <c r="A23" s="105">
        <v>7.76</v>
      </c>
      <c r="B23" s="110">
        <f t="shared" si="3"/>
        <v>0.8898617212581883</v>
      </c>
      <c r="C23" s="105"/>
      <c r="F23" s="119" t="s">
        <v>523</v>
      </c>
      <c r="G23" s="119">
        <v>10</v>
      </c>
      <c r="H23" s="105">
        <f>AVERAGE(G16:G23)</f>
        <v>15.049999999999999</v>
      </c>
      <c r="I23" s="110">
        <f>LOG(H23)</f>
        <v>1.177536499929862</v>
      </c>
      <c r="K23" s="120" t="s">
        <v>462</v>
      </c>
      <c r="M23" s="110"/>
      <c r="N23" s="110"/>
      <c r="O23" s="114">
        <v>19.5</v>
      </c>
      <c r="P23" s="115">
        <f t="shared" si="0"/>
        <v>1.2900346113625178</v>
      </c>
      <c r="R23" s="115">
        <v>1.2860071220794747</v>
      </c>
      <c r="S23" s="105">
        <f t="shared" si="5"/>
        <v>16</v>
      </c>
      <c r="T23" s="110">
        <f t="shared" si="1"/>
        <v>0.5530973451327433</v>
      </c>
      <c r="U23" s="110">
        <f t="shared" si="2"/>
        <v>0.13349108485272154</v>
      </c>
      <c r="W23" s="146">
        <v>12</v>
      </c>
      <c r="X23" s="111">
        <v>1.0791812460476249</v>
      </c>
      <c r="Y23" s="109" t="s">
        <v>598</v>
      </c>
      <c r="Z23" s="147">
        <v>1.0569048513364725</v>
      </c>
      <c r="AA23" s="109">
        <v>16</v>
      </c>
      <c r="AB23" s="147">
        <v>0.7352941176470589</v>
      </c>
      <c r="AC23" s="147">
        <v>0.6289042175922077</v>
      </c>
      <c r="AD23" s="109"/>
      <c r="AE23" s="146">
        <f t="shared" si="6"/>
        <v>12.05</v>
      </c>
      <c r="AF23" s="111">
        <f t="shared" si="7"/>
        <v>1.080987046910887</v>
      </c>
      <c r="AG23" s="148" t="s">
        <v>598</v>
      </c>
      <c r="AH23" s="147">
        <v>1.0453229787866574</v>
      </c>
      <c r="AI23" s="109">
        <v>16</v>
      </c>
      <c r="AJ23" s="147">
        <v>0.7352941176470589</v>
      </c>
      <c r="AK23" s="147">
        <v>0.6289042175922077</v>
      </c>
      <c r="AM23" s="105">
        <v>31.2</v>
      </c>
      <c r="AN23" s="110">
        <f t="shared" si="8"/>
        <v>1.4941545940184426</v>
      </c>
      <c r="AO23" s="105">
        <v>16</v>
      </c>
      <c r="AP23" s="105">
        <f t="shared" si="9"/>
        <v>0.7716049382716049</v>
      </c>
      <c r="AQ23" s="105">
        <f t="shared" si="10"/>
        <v>0.7441417437803466</v>
      </c>
      <c r="AR23" s="150">
        <f>AVERAGE(AM8:AM27)</f>
        <v>22.439999999999994</v>
      </c>
      <c r="AS23" s="156"/>
      <c r="AU23" s="113"/>
      <c r="AW23" s="113"/>
      <c r="AY23" s="113"/>
    </row>
    <row r="24" spans="1:45" ht="15.75">
      <c r="A24" s="105">
        <v>7.17</v>
      </c>
      <c r="B24" s="110">
        <f t="shared" si="3"/>
        <v>0.8555191556678001</v>
      </c>
      <c r="C24" s="105"/>
      <c r="F24" s="121" t="s">
        <v>524</v>
      </c>
      <c r="G24" s="121">
        <v>19.1</v>
      </c>
      <c r="K24" s="122" t="s">
        <v>412</v>
      </c>
      <c r="M24" s="110"/>
      <c r="N24" s="110"/>
      <c r="O24" s="114">
        <v>19.62</v>
      </c>
      <c r="P24" s="115">
        <f t="shared" si="0"/>
        <v>1.2926990030439296</v>
      </c>
      <c r="R24" s="115">
        <v>1.2873537727147464</v>
      </c>
      <c r="S24" s="105">
        <f t="shared" si="5"/>
        <v>17</v>
      </c>
      <c r="T24" s="110">
        <f t="shared" si="1"/>
        <v>0.588495575221239</v>
      </c>
      <c r="U24" s="110">
        <f t="shared" si="2"/>
        <v>0.2236765794805251</v>
      </c>
      <c r="W24" s="146">
        <v>10.5</v>
      </c>
      <c r="X24" s="111">
        <v>1.021189299069938</v>
      </c>
      <c r="Y24" s="146">
        <f>AVERAGE(W8:W28)</f>
        <v>9.554761904761904</v>
      </c>
      <c r="Z24" s="147">
        <v>1.0791812460476249</v>
      </c>
      <c r="AA24" s="109">
        <v>17</v>
      </c>
      <c r="AB24" s="147">
        <v>0.7823529411764706</v>
      </c>
      <c r="AC24" s="147">
        <v>0.7801645551808178</v>
      </c>
      <c r="AD24" s="109"/>
      <c r="AE24" s="146">
        <f t="shared" si="6"/>
        <v>9.075000000000001</v>
      </c>
      <c r="AF24" s="111">
        <f t="shared" si="7"/>
        <v>0.9578466337081502</v>
      </c>
      <c r="AG24" s="146">
        <f>AVERAGE(AE8:AE28)</f>
        <v>9.67202380952381</v>
      </c>
      <c r="AH24" s="147">
        <v>1.0472748673841794</v>
      </c>
      <c r="AI24" s="109">
        <v>17</v>
      </c>
      <c r="AJ24" s="147">
        <v>0.7823529411764706</v>
      </c>
      <c r="AK24" s="147">
        <v>0.7801645551808178</v>
      </c>
      <c r="AM24" s="105">
        <v>26.4</v>
      </c>
      <c r="AN24" s="110">
        <f t="shared" si="8"/>
        <v>1.421603926869831</v>
      </c>
      <c r="AO24" s="105">
        <v>17</v>
      </c>
      <c r="AP24" s="105">
        <f t="shared" si="9"/>
        <v>0.8209876543209876</v>
      </c>
      <c r="AQ24" s="105">
        <f t="shared" si="10"/>
        <v>0.9191353456117213</v>
      </c>
      <c r="AR24" s="118" t="s">
        <v>341</v>
      </c>
      <c r="AS24" s="113"/>
    </row>
    <row r="25" spans="1:44" ht="15.75">
      <c r="A25" s="105">
        <v>6.67</v>
      </c>
      <c r="B25" s="110">
        <f t="shared" si="3"/>
        <v>0.824125833916549</v>
      </c>
      <c r="C25" s="105"/>
      <c r="F25" s="121" t="s">
        <v>524</v>
      </c>
      <c r="G25" s="121">
        <v>19.1</v>
      </c>
      <c r="H25" s="105">
        <f>AVERAGE(G24:G25)</f>
        <v>19.1</v>
      </c>
      <c r="I25" s="110">
        <f>LOG(H25)</f>
        <v>1.2810333672477277</v>
      </c>
      <c r="K25" s="123" t="s">
        <v>413</v>
      </c>
      <c r="L25" s="105" t="s">
        <v>403</v>
      </c>
      <c r="M25" s="149" t="s">
        <v>598</v>
      </c>
      <c r="N25" s="110"/>
      <c r="O25" s="114">
        <v>13.5</v>
      </c>
      <c r="P25" s="115">
        <f t="shared" si="0"/>
        <v>1.130333768495006</v>
      </c>
      <c r="R25" s="115">
        <v>1.2886962605902557</v>
      </c>
      <c r="S25" s="105">
        <f t="shared" si="5"/>
        <v>18</v>
      </c>
      <c r="T25" s="110">
        <f t="shared" si="1"/>
        <v>0.6238938053097345</v>
      </c>
      <c r="U25" s="110">
        <f t="shared" si="2"/>
        <v>0.31572426451020874</v>
      </c>
      <c r="W25" s="109">
        <v>9</v>
      </c>
      <c r="X25" s="111">
        <v>0.954242509439325</v>
      </c>
      <c r="Y25" s="148" t="s">
        <v>59</v>
      </c>
      <c r="Z25" s="147">
        <v>1.0791812460476249</v>
      </c>
      <c r="AA25" s="109">
        <v>18</v>
      </c>
      <c r="AB25" s="147">
        <v>0.8294117647058824</v>
      </c>
      <c r="AC25" s="147">
        <v>0.9518430488242302</v>
      </c>
      <c r="AD25" s="109"/>
      <c r="AE25" s="146">
        <f t="shared" si="6"/>
        <v>9.149999999999999</v>
      </c>
      <c r="AF25" s="111">
        <f t="shared" si="7"/>
        <v>0.9614210940664482</v>
      </c>
      <c r="AG25" s="148" t="s">
        <v>59</v>
      </c>
      <c r="AH25" s="147">
        <v>1.0511525224473812</v>
      </c>
      <c r="AI25" s="109">
        <v>18</v>
      </c>
      <c r="AJ25" s="147">
        <v>0.8294117647058824</v>
      </c>
      <c r="AK25" s="147">
        <v>0.9518430488242302</v>
      </c>
      <c r="AM25" s="105">
        <v>22.2</v>
      </c>
      <c r="AN25" s="110">
        <f t="shared" si="8"/>
        <v>1.3463529744506386</v>
      </c>
      <c r="AO25" s="105">
        <v>18</v>
      </c>
      <c r="AP25" s="105">
        <f t="shared" si="9"/>
        <v>0.8703703703703703</v>
      </c>
      <c r="AQ25" s="105">
        <f t="shared" si="10"/>
        <v>1.1281440492894035</v>
      </c>
      <c r="AR25" s="149">
        <f>STDEV(AN8:AN27)</f>
        <v>0.12363457534056776</v>
      </c>
    </row>
    <row r="26" spans="1:44" ht="15.75">
      <c r="A26" s="105">
        <v>6.25</v>
      </c>
      <c r="B26" s="110">
        <f t="shared" si="3"/>
        <v>0.7958800173440752</v>
      </c>
      <c r="C26" s="105"/>
      <c r="F26" s="124" t="s">
        <v>525</v>
      </c>
      <c r="G26" s="124">
        <v>15.7</v>
      </c>
      <c r="K26" s="123">
        <v>6.3</v>
      </c>
      <c r="L26" s="110">
        <f>LOG(K26)</f>
        <v>0.7993405494535817</v>
      </c>
      <c r="M26" s="114">
        <f>AVERAGE(K26:K30)</f>
        <v>7.9</v>
      </c>
      <c r="N26" s="110"/>
      <c r="O26" s="114">
        <v>18.72</v>
      </c>
      <c r="P26" s="115">
        <f t="shared" si="0"/>
        <v>1.2723058444020865</v>
      </c>
      <c r="R26" s="115">
        <v>1.2900346113625178</v>
      </c>
      <c r="S26" s="105">
        <f t="shared" si="5"/>
        <v>19</v>
      </c>
      <c r="T26" s="110">
        <f t="shared" si="1"/>
        <v>0.6592920353982301</v>
      </c>
      <c r="U26" s="110">
        <f t="shared" si="2"/>
        <v>0.4105322659597732</v>
      </c>
      <c r="W26" s="146">
        <v>9.1</v>
      </c>
      <c r="X26" s="111">
        <v>0.9590413923210935</v>
      </c>
      <c r="Y26" s="147">
        <v>0.09475149704159887</v>
      </c>
      <c r="Z26" s="147">
        <v>1.0791812460476249</v>
      </c>
      <c r="AA26" s="109">
        <v>19</v>
      </c>
      <c r="AB26" s="147">
        <v>0.8764705882352941</v>
      </c>
      <c r="AC26" s="147">
        <v>1.1575230018934235</v>
      </c>
      <c r="AD26" s="109"/>
      <c r="AE26" s="146">
        <f t="shared" si="6"/>
        <v>9.975</v>
      </c>
      <c r="AF26" s="111">
        <f t="shared" si="7"/>
        <v>0.9989129043587858</v>
      </c>
      <c r="AG26" s="147">
        <f>STDEV(AF8:AF28)</f>
        <v>0.08155803979331297</v>
      </c>
      <c r="AH26" s="147">
        <v>1.0773679052841565</v>
      </c>
      <c r="AI26" s="109">
        <v>19</v>
      </c>
      <c r="AJ26" s="147">
        <v>0.8764705882352941</v>
      </c>
      <c r="AK26" s="147">
        <v>1.1575230018934235</v>
      </c>
      <c r="AM26" s="105">
        <v>19.8</v>
      </c>
      <c r="AN26" s="110">
        <f t="shared" si="8"/>
        <v>1.2966651902615312</v>
      </c>
      <c r="AO26" s="105">
        <v>19</v>
      </c>
      <c r="AP26" s="105">
        <f t="shared" si="9"/>
        <v>0.9197530864197531</v>
      </c>
      <c r="AQ26" s="105">
        <f t="shared" si="10"/>
        <v>1.4034139894647524</v>
      </c>
      <c r="AR26" s="118" t="s">
        <v>126</v>
      </c>
    </row>
    <row r="27" spans="1:44" ht="15.75">
      <c r="A27" s="105">
        <v>5.98</v>
      </c>
      <c r="B27" s="110">
        <f t="shared" si="3"/>
        <v>0.7767011839884108</v>
      </c>
      <c r="C27" s="105"/>
      <c r="F27" s="124" t="s">
        <v>525</v>
      </c>
      <c r="G27" s="124">
        <v>16.2</v>
      </c>
      <c r="H27" s="105">
        <f>AVERAGE(G26:G27)</f>
        <v>15.95</v>
      </c>
      <c r="I27" s="110">
        <f>LOG(H27)</f>
        <v>1.2027606873932</v>
      </c>
      <c r="K27" s="123">
        <v>6.5</v>
      </c>
      <c r="L27" s="110">
        <f>LOG(K27)</f>
        <v>0.8129133566428555</v>
      </c>
      <c r="M27" s="118" t="s">
        <v>59</v>
      </c>
      <c r="N27" s="110"/>
      <c r="O27" s="114">
        <v>18.54</v>
      </c>
      <c r="P27" s="115">
        <f t="shared" si="0"/>
        <v>1.2681097298084782</v>
      </c>
      <c r="R27" s="115">
        <v>1.2913688504515826</v>
      </c>
      <c r="S27" s="105">
        <f t="shared" si="5"/>
        <v>20</v>
      </c>
      <c r="T27" s="110">
        <f t="shared" si="1"/>
        <v>0.6946902654867256</v>
      </c>
      <c r="U27" s="110">
        <f t="shared" si="2"/>
        <v>0.5091897037345916</v>
      </c>
      <c r="W27" s="146">
        <v>9.6</v>
      </c>
      <c r="X27" s="111">
        <v>0.9822712330395684</v>
      </c>
      <c r="Y27" s="148" t="s">
        <v>126</v>
      </c>
      <c r="Z27" s="147">
        <v>1.0791812460476249</v>
      </c>
      <c r="AA27" s="109">
        <v>20</v>
      </c>
      <c r="AB27" s="147">
        <v>0.9235294117647059</v>
      </c>
      <c r="AC27" s="147">
        <v>1.4292209016275592</v>
      </c>
      <c r="AD27" s="109"/>
      <c r="AE27" s="146">
        <f t="shared" si="6"/>
        <v>10.05</v>
      </c>
      <c r="AF27" s="111">
        <f t="shared" si="7"/>
        <v>1.0021660617565078</v>
      </c>
      <c r="AG27" s="148" t="s">
        <v>126</v>
      </c>
      <c r="AH27" s="147">
        <v>1.078275522086601</v>
      </c>
      <c r="AI27" s="109">
        <v>20</v>
      </c>
      <c r="AJ27" s="147">
        <v>0.9235294117647059</v>
      </c>
      <c r="AK27" s="147">
        <v>1.4292209016275592</v>
      </c>
      <c r="AM27" s="105">
        <v>20.4</v>
      </c>
      <c r="AN27" s="110">
        <f t="shared" si="8"/>
        <v>1.3096301674258988</v>
      </c>
      <c r="AO27" s="105">
        <v>20</v>
      </c>
      <c r="AP27" s="105">
        <f t="shared" si="9"/>
        <v>0.9691358024691358</v>
      </c>
      <c r="AQ27" s="105">
        <f t="shared" si="10"/>
        <v>1.8682385416468605</v>
      </c>
      <c r="AR27" s="110">
        <f>POWER(10,AR25)</f>
        <v>1.3293354160365372</v>
      </c>
    </row>
    <row r="28" spans="1:40" ht="15.75">
      <c r="A28" s="105">
        <v>5.46</v>
      </c>
      <c r="B28" s="110">
        <f t="shared" si="3"/>
        <v>0.7371926427047372</v>
      </c>
      <c r="C28" s="114"/>
      <c r="F28" s="125" t="s">
        <v>526</v>
      </c>
      <c r="G28" s="125">
        <v>14.1</v>
      </c>
      <c r="K28" s="123">
        <v>8.3</v>
      </c>
      <c r="L28" s="110">
        <f>LOG(K28)</f>
        <v>0.919078092376074</v>
      </c>
      <c r="M28" s="115">
        <f>STDEV(L26:L30)</f>
        <v>0.08135767888979556</v>
      </c>
      <c r="N28" s="110"/>
      <c r="O28" s="114">
        <v>14.7</v>
      </c>
      <c r="P28" s="115">
        <f t="shared" si="0"/>
        <v>1.167317334748176</v>
      </c>
      <c r="Q28" s="105" t="s">
        <v>141</v>
      </c>
      <c r="R28" s="115">
        <v>1.2926990030439296</v>
      </c>
      <c r="S28" s="105">
        <f t="shared" si="5"/>
        <v>21</v>
      </c>
      <c r="T28" s="110">
        <f t="shared" si="1"/>
        <v>0.7300884955752213</v>
      </c>
      <c r="U28" s="110">
        <f t="shared" si="2"/>
        <v>0.6130812835181132</v>
      </c>
      <c r="W28" s="146">
        <v>7</v>
      </c>
      <c r="X28" s="111">
        <v>0.8450980400142568</v>
      </c>
      <c r="Y28" s="147">
        <v>1.2438027051923226</v>
      </c>
      <c r="Z28" s="147">
        <v>1.1072099696478683</v>
      </c>
      <c r="AA28" s="109">
        <v>21</v>
      </c>
      <c r="AB28" s="147">
        <v>0.9705882352941176</v>
      </c>
      <c r="AC28" s="147">
        <v>1.8895116227213293</v>
      </c>
      <c r="AD28" s="109"/>
      <c r="AE28" s="146">
        <f t="shared" si="6"/>
        <v>7.200000000000001</v>
      </c>
      <c r="AF28" s="111">
        <f t="shared" si="7"/>
        <v>0.8573324964312685</v>
      </c>
      <c r="AG28" s="147">
        <f>POWER(10,AG26)</f>
        <v>1.2065853273715352</v>
      </c>
      <c r="AH28" s="147">
        <v>1.080987046910887</v>
      </c>
      <c r="AI28" s="109">
        <v>21</v>
      </c>
      <c r="AJ28" s="147">
        <v>0.9705882352941176</v>
      </c>
      <c r="AK28" s="147">
        <v>1.8895116227213293</v>
      </c>
      <c r="AL28" s="126"/>
      <c r="AM28" s="110"/>
      <c r="AN28" s="110"/>
    </row>
    <row r="29" spans="1:40" ht="15.75">
      <c r="A29" s="105">
        <v>6</v>
      </c>
      <c r="B29" s="110">
        <f t="shared" si="3"/>
        <v>0.7781512503836436</v>
      </c>
      <c r="C29" s="118" t="s">
        <v>598</v>
      </c>
      <c r="D29" s="105" t="s">
        <v>140</v>
      </c>
      <c r="F29" s="125" t="s">
        <v>526</v>
      </c>
      <c r="G29" s="125">
        <v>6.3</v>
      </c>
      <c r="K29" s="123">
        <v>8.8</v>
      </c>
      <c r="L29" s="110">
        <f>LOG(K29)</f>
        <v>0.9444826721501687</v>
      </c>
      <c r="M29" s="118" t="s">
        <v>126</v>
      </c>
      <c r="N29" s="110"/>
      <c r="O29" s="114">
        <v>15</v>
      </c>
      <c r="P29" s="115">
        <f t="shared" si="0"/>
        <v>1.1760912590556811</v>
      </c>
      <c r="Q29" s="115">
        <f>AVERAGE(P8:P35)</f>
        <v>1.2728851116605724</v>
      </c>
      <c r="R29" s="115">
        <v>1.3096301674258988</v>
      </c>
      <c r="S29" s="105">
        <f t="shared" si="5"/>
        <v>22</v>
      </c>
      <c r="T29" s="110">
        <f t="shared" si="1"/>
        <v>0.7654867256637168</v>
      </c>
      <c r="U29" s="110">
        <f t="shared" si="2"/>
        <v>0.724063511370332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1"/>
      <c r="AJ29" s="109"/>
      <c r="AK29" s="111"/>
      <c r="AL29" s="127"/>
      <c r="AM29" s="110" t="s">
        <v>27</v>
      </c>
      <c r="AN29" s="110"/>
    </row>
    <row r="30" spans="1:43" ht="15.75">
      <c r="A30" s="105">
        <v>6.25</v>
      </c>
      <c r="B30" s="110">
        <f t="shared" si="3"/>
        <v>0.7958800173440752</v>
      </c>
      <c r="C30" s="114">
        <f>AVERAGE(A8:A34)</f>
        <v>6.705925925925926</v>
      </c>
      <c r="D30" s="110">
        <f>AVERAGE(B8:B34)</f>
        <v>0.8192936636721423</v>
      </c>
      <c r="F30" s="125" t="s">
        <v>526</v>
      </c>
      <c r="G30" s="125">
        <v>12.7</v>
      </c>
      <c r="K30" s="123">
        <v>9.6</v>
      </c>
      <c r="L30" s="110">
        <f>LOG(K30)</f>
        <v>0.9822712330395684</v>
      </c>
      <c r="M30" s="115">
        <f>POWER(10,M28)</f>
        <v>1.2060287999944135</v>
      </c>
      <c r="O30" s="114">
        <v>17.4</v>
      </c>
      <c r="P30" s="115">
        <f t="shared" si="0"/>
        <v>1.2405492482825997</v>
      </c>
      <c r="Q30" s="118" t="s">
        <v>598</v>
      </c>
      <c r="R30" s="115">
        <v>1.3259259557714662</v>
      </c>
      <c r="S30" s="105">
        <f t="shared" si="5"/>
        <v>23</v>
      </c>
      <c r="T30" s="110">
        <f t="shared" si="1"/>
        <v>0.8008849557522124</v>
      </c>
      <c r="U30" s="110">
        <f t="shared" si="2"/>
        <v>0.8447864274785388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1"/>
      <c r="AJ30" s="109"/>
      <c r="AK30" s="109"/>
      <c r="AL30" s="145"/>
      <c r="AM30" s="105">
        <v>79.8</v>
      </c>
      <c r="AN30" s="110">
        <f aca="true" t="shared" si="11" ref="AN30:AN40">LOG(AM30)</f>
        <v>1.9020028913507294</v>
      </c>
      <c r="AO30" s="105">
        <v>1</v>
      </c>
      <c r="AP30" s="105">
        <f>(AO30-(3/8))/11.25</f>
        <v>0.05555555555555555</v>
      </c>
      <c r="AQ30" s="105">
        <f t="shared" si="10"/>
        <v>-1.5932164387777448</v>
      </c>
    </row>
    <row r="31" spans="1:43" ht="15.75">
      <c r="A31" s="105">
        <v>6.91</v>
      </c>
      <c r="B31" s="110">
        <f t="shared" si="3"/>
        <v>0.8394780473741984</v>
      </c>
      <c r="C31" s="118" t="s">
        <v>59</v>
      </c>
      <c r="F31" s="125" t="s">
        <v>526</v>
      </c>
      <c r="G31" s="125">
        <v>13.3</v>
      </c>
      <c r="K31" s="128" t="s">
        <v>206</v>
      </c>
      <c r="L31" s="110"/>
      <c r="O31" s="114">
        <v>15.96</v>
      </c>
      <c r="P31" s="115">
        <f t="shared" si="0"/>
        <v>1.2030328870147107</v>
      </c>
      <c r="Q31" s="114">
        <f>AVERAGE(O8:O35)</f>
        <v>19.155</v>
      </c>
      <c r="R31" s="115">
        <v>1.3725438007590702</v>
      </c>
      <c r="S31" s="105">
        <f t="shared" si="5"/>
        <v>24</v>
      </c>
      <c r="T31" s="110">
        <f t="shared" si="1"/>
        <v>0.8362831858407079</v>
      </c>
      <c r="U31" s="110">
        <f t="shared" si="2"/>
        <v>0.979296146397246</v>
      </c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1"/>
      <c r="AJ31" s="109"/>
      <c r="AK31" s="111"/>
      <c r="AL31" s="145"/>
      <c r="AM31" s="105">
        <v>81.6</v>
      </c>
      <c r="AN31" s="110">
        <f t="shared" si="11"/>
        <v>1.9116901587538608</v>
      </c>
      <c r="AO31" s="105">
        <v>2</v>
      </c>
      <c r="AP31" s="105">
        <f aca="true" t="shared" si="12" ref="AP31:AP40">(AO31-(3/8))/11.25</f>
        <v>0.14444444444444443</v>
      </c>
      <c r="AQ31" s="105">
        <f t="shared" si="10"/>
        <v>-1.0605617717374116</v>
      </c>
    </row>
    <row r="32" spans="1:43" ht="15.75">
      <c r="A32" s="105">
        <v>5.96</v>
      </c>
      <c r="B32" s="110">
        <f t="shared" si="3"/>
        <v>0.7752462597402364</v>
      </c>
      <c r="C32" s="115">
        <f>STDEV(B8:B34)</f>
        <v>0.08007169896734391</v>
      </c>
      <c r="F32" s="125" t="s">
        <v>526</v>
      </c>
      <c r="G32" s="125">
        <v>12</v>
      </c>
      <c r="K32" s="128" t="s">
        <v>413</v>
      </c>
      <c r="L32" s="110"/>
      <c r="M32" s="118" t="s">
        <v>598</v>
      </c>
      <c r="O32" s="114">
        <v>17.28</v>
      </c>
      <c r="P32" s="115">
        <f t="shared" si="0"/>
        <v>1.2375437381428744</v>
      </c>
      <c r="Q32" s="118" t="s">
        <v>59</v>
      </c>
      <c r="R32" s="115">
        <v>1.3919930722597127</v>
      </c>
      <c r="S32" s="105">
        <f t="shared" si="5"/>
        <v>25</v>
      </c>
      <c r="T32" s="110">
        <f t="shared" si="1"/>
        <v>0.8716814159292036</v>
      </c>
      <c r="U32" s="110">
        <f t="shared" si="2"/>
        <v>1.1343763617333025</v>
      </c>
      <c r="W32" s="109" t="s">
        <v>224</v>
      </c>
      <c r="X32" s="109" t="s">
        <v>403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45"/>
      <c r="AM32" s="105">
        <v>101.4</v>
      </c>
      <c r="AN32" s="110">
        <f t="shared" si="11"/>
        <v>2.0060379549973173</v>
      </c>
      <c r="AO32" s="105">
        <v>3</v>
      </c>
      <c r="AP32" s="105">
        <f t="shared" si="12"/>
        <v>0.23333333333333334</v>
      </c>
      <c r="AQ32" s="105">
        <f t="shared" si="10"/>
        <v>-0.7279129476955859</v>
      </c>
    </row>
    <row r="33" spans="1:43" ht="15.75">
      <c r="A33" s="105">
        <v>6.91</v>
      </c>
      <c r="B33" s="110">
        <f t="shared" si="3"/>
        <v>0.8394780473741984</v>
      </c>
      <c r="C33" s="118" t="s">
        <v>126</v>
      </c>
      <c r="F33" s="125" t="s">
        <v>526</v>
      </c>
      <c r="G33" s="125">
        <v>16.3</v>
      </c>
      <c r="H33" s="105">
        <f>AVERAGE(G28:G33)</f>
        <v>12.449999999999998</v>
      </c>
      <c r="I33" s="110">
        <f>LOG(H33)</f>
        <v>1.095169351431755</v>
      </c>
      <c r="K33" s="128">
        <v>32.7</v>
      </c>
      <c r="L33" s="110">
        <f>LOG(K33)</f>
        <v>1.5145477526602862</v>
      </c>
      <c r="M33" s="105">
        <f>AVERAGE(K33:K37)</f>
        <v>39.1</v>
      </c>
      <c r="O33" s="114">
        <v>19.56</v>
      </c>
      <c r="P33" s="115">
        <f t="shared" si="0"/>
        <v>1.2913688504515826</v>
      </c>
      <c r="Q33" s="115">
        <f>STDEV(P8:P35)</f>
        <v>0.09104745806384708</v>
      </c>
      <c r="R33" s="115">
        <v>1.4146391467370092</v>
      </c>
      <c r="S33" s="105">
        <f t="shared" si="5"/>
        <v>26</v>
      </c>
      <c r="T33" s="110">
        <f t="shared" si="1"/>
        <v>0.9070796460176991</v>
      </c>
      <c r="U33" s="110">
        <f t="shared" si="2"/>
        <v>1.3229828255134635</v>
      </c>
      <c r="W33" s="146">
        <v>6.8</v>
      </c>
      <c r="X33" s="111">
        <v>0.8325089127062363</v>
      </c>
      <c r="Y33" s="109"/>
      <c r="Z33" s="147">
        <v>0.8129133566428555</v>
      </c>
      <c r="AA33" s="109">
        <v>1</v>
      </c>
      <c r="AB33" s="147">
        <v>0.029411764705882353</v>
      </c>
      <c r="AC33" s="147">
        <v>-1.8895116227213293</v>
      </c>
      <c r="AD33" s="109"/>
      <c r="AE33" s="109"/>
      <c r="AF33" s="109"/>
      <c r="AG33" s="109"/>
      <c r="AH33" s="109"/>
      <c r="AI33" s="109"/>
      <c r="AJ33" s="109"/>
      <c r="AK33" s="109"/>
      <c r="AL33" s="145"/>
      <c r="AM33" s="105">
        <v>66</v>
      </c>
      <c r="AN33" s="110">
        <f t="shared" si="11"/>
        <v>1.8195439355418686</v>
      </c>
      <c r="AO33" s="105">
        <v>4</v>
      </c>
      <c r="AP33" s="105">
        <f t="shared" si="12"/>
        <v>0.32222222222222224</v>
      </c>
      <c r="AQ33" s="105">
        <f t="shared" si="10"/>
        <v>-0.4614935278368648</v>
      </c>
    </row>
    <row r="34" spans="1:43" ht="15.75">
      <c r="A34" s="105">
        <v>5.91</v>
      </c>
      <c r="B34" s="110">
        <f t="shared" si="3"/>
        <v>0.7715874808812554</v>
      </c>
      <c r="C34" s="115">
        <f>POWER(10,C32)</f>
        <v>1.202462936412899</v>
      </c>
      <c r="F34" s="130" t="s">
        <v>527</v>
      </c>
      <c r="G34" s="130">
        <v>21</v>
      </c>
      <c r="K34" s="128">
        <v>37.7</v>
      </c>
      <c r="L34" s="110">
        <f>LOG(K34)</f>
        <v>1.5763413502057928</v>
      </c>
      <c r="M34" s="118" t="s">
        <v>59</v>
      </c>
      <c r="O34" s="114">
        <v>24.66</v>
      </c>
      <c r="P34" s="115">
        <f t="shared" si="0"/>
        <v>1.3919930722597127</v>
      </c>
      <c r="Q34" s="118" t="s">
        <v>126</v>
      </c>
      <c r="R34" s="115">
        <v>1.432327792261604</v>
      </c>
      <c r="S34" s="105">
        <f t="shared" si="5"/>
        <v>27</v>
      </c>
      <c r="T34" s="110">
        <f t="shared" si="1"/>
        <v>0.9424778761061947</v>
      </c>
      <c r="U34" s="110">
        <f t="shared" si="2"/>
        <v>1.5759178495500237</v>
      </c>
      <c r="W34" s="146">
        <v>11.9</v>
      </c>
      <c r="X34" s="111">
        <v>1.0755469613925308</v>
      </c>
      <c r="Y34" s="109"/>
      <c r="Z34" s="147">
        <v>0.8325089127062363</v>
      </c>
      <c r="AA34" s="109">
        <v>2</v>
      </c>
      <c r="AB34" s="147">
        <v>0.07647058823529412</v>
      </c>
      <c r="AC34" s="147">
        <v>-1.4292209016275592</v>
      </c>
      <c r="AD34" s="109"/>
      <c r="AE34" s="109"/>
      <c r="AF34" s="109"/>
      <c r="AG34" s="109"/>
      <c r="AH34" s="109"/>
      <c r="AI34" s="109"/>
      <c r="AJ34" s="109"/>
      <c r="AK34" s="109"/>
      <c r="AL34" s="145"/>
      <c r="AM34" s="105">
        <v>44.4</v>
      </c>
      <c r="AN34" s="110">
        <f t="shared" si="11"/>
        <v>1.6473829701146196</v>
      </c>
      <c r="AO34" s="105">
        <v>5</v>
      </c>
      <c r="AP34" s="105">
        <f t="shared" si="12"/>
        <v>0.4111111111111111</v>
      </c>
      <c r="AQ34" s="105">
        <f t="shared" si="10"/>
        <v>-0.2246883923362475</v>
      </c>
    </row>
    <row r="35" spans="2:44" ht="15.75">
      <c r="B35" s="105"/>
      <c r="C35" s="105"/>
      <c r="F35" s="130" t="s">
        <v>527</v>
      </c>
      <c r="G35" s="130">
        <v>17</v>
      </c>
      <c r="K35" s="128">
        <v>38.9</v>
      </c>
      <c r="L35" s="110">
        <f>LOG(K35)</f>
        <v>1.5899496013257075</v>
      </c>
      <c r="M35" s="115">
        <f>STDEV(L33:L37)</f>
        <v>0.053579686095921474</v>
      </c>
      <c r="O35" s="114">
        <v>20.4</v>
      </c>
      <c r="P35" s="115">
        <f t="shared" si="0"/>
        <v>1.3096301674258988</v>
      </c>
      <c r="Q35" s="115">
        <f>POWER(10,Q33)</f>
        <v>1.233239589639421</v>
      </c>
      <c r="R35" s="115">
        <v>1.4865721505183562</v>
      </c>
      <c r="S35" s="105">
        <f t="shared" si="5"/>
        <v>28</v>
      </c>
      <c r="T35" s="110">
        <f t="shared" si="1"/>
        <v>0.9778761061946902</v>
      </c>
      <c r="U35" s="110">
        <f t="shared" si="2"/>
        <v>2.0117295207455754</v>
      </c>
      <c r="W35" s="146">
        <v>8.4</v>
      </c>
      <c r="X35" s="111">
        <v>0.9242792860618816</v>
      </c>
      <c r="Y35" s="109"/>
      <c r="Z35" s="147">
        <v>0.8450980400142568</v>
      </c>
      <c r="AA35" s="109">
        <v>3</v>
      </c>
      <c r="AB35" s="147">
        <v>0.12352941176470589</v>
      </c>
      <c r="AC35" s="147">
        <v>-1.1575230018934235</v>
      </c>
      <c r="AD35" s="109"/>
      <c r="AE35" s="109"/>
      <c r="AF35" s="109"/>
      <c r="AG35" s="109"/>
      <c r="AH35" s="109"/>
      <c r="AI35" s="109"/>
      <c r="AJ35" s="109"/>
      <c r="AK35" s="109"/>
      <c r="AL35" s="145"/>
      <c r="AM35" s="105">
        <v>70.2</v>
      </c>
      <c r="AN35" s="110">
        <f t="shared" si="11"/>
        <v>1.8463371121298053</v>
      </c>
      <c r="AO35" s="105">
        <v>6</v>
      </c>
      <c r="AP35" s="105">
        <f t="shared" si="12"/>
        <v>0.5</v>
      </c>
      <c r="AQ35" s="105">
        <f t="shared" si="10"/>
        <v>0</v>
      </c>
      <c r="AR35" s="118" t="s">
        <v>598</v>
      </c>
    </row>
    <row r="36" spans="1:44" ht="15.75">
      <c r="A36" s="104" t="s">
        <v>402</v>
      </c>
      <c r="B36" s="105"/>
      <c r="C36" s="105"/>
      <c r="F36" s="130" t="s">
        <v>527</v>
      </c>
      <c r="G36" s="130">
        <v>20.3</v>
      </c>
      <c r="K36" s="128">
        <v>40.1</v>
      </c>
      <c r="L36" s="110">
        <f>LOG(K36)</f>
        <v>1.6031443726201822</v>
      </c>
      <c r="M36" s="118" t="s">
        <v>126</v>
      </c>
      <c r="P36" s="115"/>
      <c r="R36" s="115"/>
      <c r="W36" s="146">
        <v>8.4</v>
      </c>
      <c r="X36" s="111">
        <v>0.9242792860618816</v>
      </c>
      <c r="Y36" s="109"/>
      <c r="Z36" s="147">
        <v>0.8450980400142568</v>
      </c>
      <c r="AA36" s="109">
        <v>4</v>
      </c>
      <c r="AB36" s="147">
        <v>0.17058823529411765</v>
      </c>
      <c r="AC36" s="147">
        <v>-0.9518430488242302</v>
      </c>
      <c r="AD36" s="109"/>
      <c r="AE36" s="109"/>
      <c r="AF36" s="109"/>
      <c r="AG36" s="109"/>
      <c r="AH36" s="109"/>
      <c r="AI36" s="111"/>
      <c r="AJ36" s="109"/>
      <c r="AK36" s="109"/>
      <c r="AL36" s="145"/>
      <c r="AM36" s="105">
        <v>91.2</v>
      </c>
      <c r="AN36" s="110">
        <f t="shared" si="11"/>
        <v>1.9599948383284163</v>
      </c>
      <c r="AO36" s="105">
        <v>7</v>
      </c>
      <c r="AP36" s="105">
        <f t="shared" si="12"/>
        <v>0.5888888888888889</v>
      </c>
      <c r="AQ36" s="105">
        <f t="shared" si="10"/>
        <v>0.2246883923362475</v>
      </c>
      <c r="AR36" s="150">
        <f>AVERAGE(AM30:AM40)</f>
        <v>66.16363636363634</v>
      </c>
    </row>
    <row r="37" spans="1:44" ht="15.75">
      <c r="A37" s="105">
        <v>8.7</v>
      </c>
      <c r="B37" s="110">
        <f aca="true" t="shared" si="13" ref="B37:B48">LOG(A37)</f>
        <v>0.9395192526186184</v>
      </c>
      <c r="C37" s="105"/>
      <c r="F37" s="130" t="s">
        <v>527</v>
      </c>
      <c r="G37" s="130">
        <v>15.2</v>
      </c>
      <c r="K37" s="128">
        <v>46.1</v>
      </c>
      <c r="L37" s="110">
        <f>LOG(K37)</f>
        <v>1.663700925389648</v>
      </c>
      <c r="M37" s="115">
        <f>POWER(10,M35)</f>
        <v>1.1313049466669969</v>
      </c>
      <c r="O37" s="105" t="s">
        <v>224</v>
      </c>
      <c r="P37" s="115"/>
      <c r="R37" s="115"/>
      <c r="W37" s="146">
        <v>8.4</v>
      </c>
      <c r="X37" s="111">
        <v>0.9242792860618816</v>
      </c>
      <c r="Y37" s="109"/>
      <c r="Z37" s="147">
        <v>0.8543060418010806</v>
      </c>
      <c r="AA37" s="109">
        <v>5</v>
      </c>
      <c r="AB37" s="147">
        <v>0.21764705882352942</v>
      </c>
      <c r="AC37" s="147">
        <v>-0.7801645551808178</v>
      </c>
      <c r="AD37" s="109"/>
      <c r="AE37" s="109"/>
      <c r="AF37" s="109"/>
      <c r="AG37" s="109"/>
      <c r="AH37" s="109"/>
      <c r="AI37" s="111"/>
      <c r="AJ37" s="109"/>
      <c r="AK37" s="109"/>
      <c r="AL37" s="145"/>
      <c r="AM37" s="105">
        <v>35.4</v>
      </c>
      <c r="AN37" s="110">
        <f t="shared" si="11"/>
        <v>1.5490032620257879</v>
      </c>
      <c r="AO37" s="105">
        <v>8</v>
      </c>
      <c r="AP37" s="105">
        <f t="shared" si="12"/>
        <v>0.6777777777777778</v>
      </c>
      <c r="AQ37" s="105">
        <f t="shared" si="10"/>
        <v>0.4614935278368648</v>
      </c>
      <c r="AR37" s="118" t="s">
        <v>341</v>
      </c>
    </row>
    <row r="38" spans="1:44" ht="15.75">
      <c r="A38" s="105">
        <v>6.41</v>
      </c>
      <c r="B38" s="110">
        <f t="shared" si="13"/>
        <v>0.8068580295188175</v>
      </c>
      <c r="C38" s="105"/>
      <c r="F38" s="130" t="s">
        <v>527</v>
      </c>
      <c r="G38" s="130">
        <v>16</v>
      </c>
      <c r="H38" s="105">
        <f>AVERAGE(G34:G38)</f>
        <v>17.9</v>
      </c>
      <c r="I38" s="110">
        <f>LOG(H38)</f>
        <v>1.252853030979893</v>
      </c>
      <c r="O38" s="114">
        <v>12.024</v>
      </c>
      <c r="P38" s="115">
        <f aca="true" t="shared" si="14" ref="P38:P66">LOG(O38)</f>
        <v>1.0800489675788518</v>
      </c>
      <c r="R38" s="115">
        <v>1.0659529803138696</v>
      </c>
      <c r="S38" s="105">
        <f aca="true" t="shared" si="15" ref="S38:S66">1+S37</f>
        <v>1</v>
      </c>
      <c r="T38" s="110">
        <f aca="true" t="shared" si="16" ref="T38:T66">(S38-(3/8))/29.25</f>
        <v>0.021367521367521368</v>
      </c>
      <c r="U38" s="110">
        <f aca="true" t="shared" si="17" ref="U38:U66">NORMSINV(T38)</f>
        <v>-2.02629053092096</v>
      </c>
      <c r="W38" s="146">
        <v>10.8</v>
      </c>
      <c r="X38" s="111">
        <v>1.0334237554869496</v>
      </c>
      <c r="Y38" s="109"/>
      <c r="Z38" s="147">
        <v>0.8920946026904805</v>
      </c>
      <c r="AA38" s="109">
        <v>6</v>
      </c>
      <c r="AB38" s="147">
        <v>0.2647058823529412</v>
      </c>
      <c r="AC38" s="147">
        <v>-0.6289042175922077</v>
      </c>
      <c r="AD38" s="109"/>
      <c r="AE38" s="109"/>
      <c r="AF38" s="109"/>
      <c r="AG38" s="109"/>
      <c r="AH38" s="109"/>
      <c r="AI38" s="111"/>
      <c r="AJ38" s="109"/>
      <c r="AK38" s="109"/>
      <c r="AL38" s="145"/>
      <c r="AM38" s="105">
        <v>40.8</v>
      </c>
      <c r="AN38" s="110">
        <f t="shared" si="11"/>
        <v>1.6106601630898798</v>
      </c>
      <c r="AO38" s="105">
        <v>9</v>
      </c>
      <c r="AP38" s="105">
        <f t="shared" si="12"/>
        <v>0.7666666666666667</v>
      </c>
      <c r="AQ38" s="105">
        <f t="shared" si="10"/>
        <v>0.7279129476955859</v>
      </c>
      <c r="AR38" s="149">
        <f>STDEV(AN30:AN40)</f>
        <v>0.16564898663662386</v>
      </c>
    </row>
    <row r="39" spans="1:44" ht="15.75">
      <c r="A39" s="105">
        <v>7.38</v>
      </c>
      <c r="B39" s="110">
        <f t="shared" si="13"/>
        <v>0.8680563618230416</v>
      </c>
      <c r="C39" s="105"/>
      <c r="F39" s="131" t="s">
        <v>528</v>
      </c>
      <c r="G39" s="131">
        <v>20.4</v>
      </c>
      <c r="O39" s="114">
        <v>18.983999999999998</v>
      </c>
      <c r="P39" s="115">
        <f t="shared" si="14"/>
        <v>1.2783877252092826</v>
      </c>
      <c r="R39" s="115">
        <v>1.0800489675788518</v>
      </c>
      <c r="S39" s="105">
        <f t="shared" si="15"/>
        <v>2</v>
      </c>
      <c r="T39" s="110">
        <f t="shared" si="16"/>
        <v>0.05555555555555555</v>
      </c>
      <c r="U39" s="110">
        <f t="shared" si="17"/>
        <v>-1.5932164387777448</v>
      </c>
      <c r="W39" s="146">
        <v>6.5</v>
      </c>
      <c r="X39" s="111">
        <v>0.8129133566428555</v>
      </c>
      <c r="Y39" s="109"/>
      <c r="Z39" s="147">
        <v>0.9242792860618816</v>
      </c>
      <c r="AA39" s="109">
        <v>7</v>
      </c>
      <c r="AB39" s="147">
        <v>0.31176470588235294</v>
      </c>
      <c r="AC39" s="147">
        <v>-0.49085429054684937</v>
      </c>
      <c r="AD39" s="109"/>
      <c r="AE39" s="109"/>
      <c r="AF39" s="109"/>
      <c r="AG39" s="109"/>
      <c r="AH39" s="109"/>
      <c r="AI39" s="111"/>
      <c r="AJ39" s="109"/>
      <c r="AK39" s="109"/>
      <c r="AL39" s="145"/>
      <c r="AM39" s="105">
        <v>79.2</v>
      </c>
      <c r="AN39" s="110">
        <f t="shared" si="11"/>
        <v>1.8987251815894934</v>
      </c>
      <c r="AO39" s="105">
        <v>10</v>
      </c>
      <c r="AP39" s="105">
        <f t="shared" si="12"/>
        <v>0.8555555555555555</v>
      </c>
      <c r="AQ39" s="105">
        <f t="shared" si="10"/>
        <v>1.0605617717374116</v>
      </c>
      <c r="AR39" s="118" t="s">
        <v>126</v>
      </c>
    </row>
    <row r="40" spans="1:44" ht="15.75">
      <c r="A40" s="105">
        <v>6.19</v>
      </c>
      <c r="B40" s="110">
        <f t="shared" si="13"/>
        <v>0.791690649020118</v>
      </c>
      <c r="C40" s="105"/>
      <c r="F40" s="131" t="s">
        <v>528</v>
      </c>
      <c r="G40" s="131">
        <v>26.2</v>
      </c>
      <c r="H40" s="105">
        <f>AVERAGE(G39:G40)</f>
        <v>23.299999999999997</v>
      </c>
      <c r="I40" s="110">
        <f>LOG(H40)</f>
        <v>1.3673559210260189</v>
      </c>
      <c r="O40" s="114">
        <v>25.32</v>
      </c>
      <c r="P40" s="115">
        <f t="shared" si="14"/>
        <v>1.4034637013453175</v>
      </c>
      <c r="R40" s="115">
        <v>1.094541001456839</v>
      </c>
      <c r="S40" s="105">
        <f t="shared" si="15"/>
        <v>3</v>
      </c>
      <c r="T40" s="110">
        <f t="shared" si="16"/>
        <v>0.08974358974358974</v>
      </c>
      <c r="U40" s="110">
        <f t="shared" si="17"/>
        <v>-1.3423368727671914</v>
      </c>
      <c r="W40" s="146">
        <v>7</v>
      </c>
      <c r="X40" s="111">
        <v>0.8450980400142568</v>
      </c>
      <c r="Y40" s="109"/>
      <c r="Z40" s="147">
        <v>0.9242792860618816</v>
      </c>
      <c r="AA40" s="109">
        <v>8</v>
      </c>
      <c r="AB40" s="147">
        <v>0.3588235294117647</v>
      </c>
      <c r="AC40" s="147">
        <v>-0.36160599847789854</v>
      </c>
      <c r="AD40" s="109"/>
      <c r="AE40" s="109"/>
      <c r="AF40" s="109"/>
      <c r="AG40" s="109"/>
      <c r="AH40" s="109"/>
      <c r="AI40" s="111"/>
      <c r="AJ40" s="109"/>
      <c r="AK40" s="109"/>
      <c r="AL40" s="145"/>
      <c r="AM40" s="105">
        <v>37.8</v>
      </c>
      <c r="AN40" s="110">
        <f t="shared" si="11"/>
        <v>1.5774917998372253</v>
      </c>
      <c r="AO40" s="105">
        <v>11</v>
      </c>
      <c r="AP40" s="105">
        <f t="shared" si="12"/>
        <v>0.9444444444444444</v>
      </c>
      <c r="AQ40" s="105">
        <f t="shared" si="10"/>
        <v>1.5932164387777448</v>
      </c>
      <c r="AR40" s="110">
        <f>POWER(10,AR38)</f>
        <v>1.4643638078526695</v>
      </c>
    </row>
    <row r="41" spans="1:39" ht="15.75">
      <c r="A41" s="105">
        <v>6.57</v>
      </c>
      <c r="B41" s="110">
        <f t="shared" si="13"/>
        <v>0.8175653695597808</v>
      </c>
      <c r="C41" s="105"/>
      <c r="F41" s="132" t="s">
        <v>358</v>
      </c>
      <c r="G41" s="132">
        <v>19.7</v>
      </c>
      <c r="O41" s="114">
        <v>20.118</v>
      </c>
      <c r="P41" s="115">
        <f t="shared" si="14"/>
        <v>1.3035848038124636</v>
      </c>
      <c r="R41" s="115">
        <v>1.104487111312395</v>
      </c>
      <c r="S41" s="105">
        <f t="shared" si="15"/>
        <v>4</v>
      </c>
      <c r="T41" s="110">
        <f t="shared" si="16"/>
        <v>0.12393162393162394</v>
      </c>
      <c r="U41" s="110">
        <f t="shared" si="17"/>
        <v>-1.155553945864085</v>
      </c>
      <c r="W41" s="146">
        <v>9.6</v>
      </c>
      <c r="X41" s="111">
        <v>0.9822712330395684</v>
      </c>
      <c r="Y41" s="109"/>
      <c r="Z41" s="147">
        <v>0.9242792860618816</v>
      </c>
      <c r="AA41" s="109">
        <v>9</v>
      </c>
      <c r="AB41" s="147">
        <v>0.40588235294117647</v>
      </c>
      <c r="AC41" s="147">
        <v>-0.23815005079086404</v>
      </c>
      <c r="AD41" s="109"/>
      <c r="AE41" s="109"/>
      <c r="AF41" s="109"/>
      <c r="AG41" s="109"/>
      <c r="AH41" s="109"/>
      <c r="AI41" s="111"/>
      <c r="AJ41" s="109"/>
      <c r="AK41" s="109"/>
      <c r="AM41" s="110"/>
    </row>
    <row r="42" spans="1:41" ht="15.75">
      <c r="A42" s="105">
        <v>5.39</v>
      </c>
      <c r="B42" s="110">
        <f t="shared" si="13"/>
        <v>0.7315887651867387</v>
      </c>
      <c r="C42" s="105"/>
      <c r="F42" s="132" t="s">
        <v>358</v>
      </c>
      <c r="G42" s="132">
        <v>22.1</v>
      </c>
      <c r="O42" s="114">
        <v>25.776000000000003</v>
      </c>
      <c r="P42" s="115">
        <f t="shared" si="14"/>
        <v>1.4112155230751429</v>
      </c>
      <c r="R42" s="115">
        <v>1.104487111312395</v>
      </c>
      <c r="S42" s="105">
        <f t="shared" si="15"/>
        <v>5</v>
      </c>
      <c r="T42" s="110">
        <f t="shared" si="16"/>
        <v>0.1581196581196581</v>
      </c>
      <c r="U42" s="110">
        <f t="shared" si="17"/>
        <v>-1.0022154128819238</v>
      </c>
      <c r="W42" s="146">
        <v>10</v>
      </c>
      <c r="X42" s="111">
        <v>1</v>
      </c>
      <c r="Y42" s="109"/>
      <c r="Z42" s="147">
        <v>0.9242792860618816</v>
      </c>
      <c r="AA42" s="109">
        <v>10</v>
      </c>
      <c r="AB42" s="147">
        <v>0.45294117647058824</v>
      </c>
      <c r="AC42" s="147">
        <v>-0.11823431123048067</v>
      </c>
      <c r="AD42" s="109"/>
      <c r="AE42" s="109"/>
      <c r="AF42" s="109"/>
      <c r="AG42" s="109"/>
      <c r="AH42" s="109"/>
      <c r="AI42" s="111"/>
      <c r="AJ42" s="109"/>
      <c r="AK42" s="109"/>
      <c r="AN42" s="110"/>
      <c r="AO42" s="110"/>
    </row>
    <row r="43" spans="1:41" ht="15.75">
      <c r="A43" s="105">
        <v>9.68</v>
      </c>
      <c r="B43" s="110">
        <f t="shared" si="13"/>
        <v>0.9858753573083937</v>
      </c>
      <c r="C43" s="118" t="s">
        <v>598</v>
      </c>
      <c r="D43" s="105" t="s">
        <v>141</v>
      </c>
      <c r="F43" s="132" t="s">
        <v>358</v>
      </c>
      <c r="G43" s="132">
        <v>23.2</v>
      </c>
      <c r="O43" s="114">
        <v>22.901999999999997</v>
      </c>
      <c r="P43" s="115">
        <f t="shared" si="14"/>
        <v>1.3598734103327423</v>
      </c>
      <c r="R43" s="115">
        <v>1.116806915962344</v>
      </c>
      <c r="S43" s="105">
        <f t="shared" si="15"/>
        <v>6</v>
      </c>
      <c r="T43" s="110">
        <f t="shared" si="16"/>
        <v>0.19230769230769232</v>
      </c>
      <c r="U43" s="110">
        <f t="shared" si="17"/>
        <v>-0.8694246389495675</v>
      </c>
      <c r="W43" s="146">
        <v>9</v>
      </c>
      <c r="X43" s="111">
        <v>0.954242509439325</v>
      </c>
      <c r="Y43" s="109"/>
      <c r="Z43" s="147">
        <v>0.9242792860618816</v>
      </c>
      <c r="AA43" s="109">
        <v>11</v>
      </c>
      <c r="AB43" s="147">
        <v>0.5</v>
      </c>
      <c r="AC43" s="147">
        <v>0</v>
      </c>
      <c r="AD43" s="109"/>
      <c r="AE43" s="109"/>
      <c r="AF43" s="109"/>
      <c r="AG43" s="109"/>
      <c r="AH43" s="109"/>
      <c r="AI43" s="111"/>
      <c r="AJ43" s="109"/>
      <c r="AK43" s="109"/>
      <c r="AN43" s="110"/>
      <c r="AO43" s="110"/>
    </row>
    <row r="44" spans="1:41" ht="15.75">
      <c r="A44" s="105">
        <v>6.81</v>
      </c>
      <c r="B44" s="110">
        <f t="shared" si="13"/>
        <v>0.8331471119127851</v>
      </c>
      <c r="C44" s="114">
        <f>AVERAGE(A37:A48)</f>
        <v>7.295833333333333</v>
      </c>
      <c r="D44" s="110">
        <f>AVERAGE(B37:B48)</f>
        <v>0.8573601656500718</v>
      </c>
      <c r="F44" s="132" t="s">
        <v>358</v>
      </c>
      <c r="G44" s="132">
        <v>23.7</v>
      </c>
      <c r="H44" s="110">
        <f>AVERAGE(G41:G44)</f>
        <v>22.175</v>
      </c>
      <c r="I44" s="110">
        <f>LOG(H44)</f>
        <v>1.3458636285037642</v>
      </c>
      <c r="O44" s="114">
        <v>15.036</v>
      </c>
      <c r="P44" s="115">
        <f t="shared" si="14"/>
        <v>1.1771323170417747</v>
      </c>
      <c r="R44" s="115">
        <v>1.1499577088910595</v>
      </c>
      <c r="S44" s="105">
        <f t="shared" si="15"/>
        <v>7</v>
      </c>
      <c r="T44" s="110">
        <f t="shared" si="16"/>
        <v>0.2264957264957265</v>
      </c>
      <c r="U44" s="110">
        <f t="shared" si="17"/>
        <v>-0.7504377208533697</v>
      </c>
      <c r="W44" s="146">
        <v>7</v>
      </c>
      <c r="X44" s="111">
        <v>0.8450980400142568</v>
      </c>
      <c r="Y44" s="109"/>
      <c r="Z44" s="147">
        <v>0.954242509439325</v>
      </c>
      <c r="AA44" s="109">
        <v>12</v>
      </c>
      <c r="AB44" s="147">
        <v>0.5470588235294118</v>
      </c>
      <c r="AC44" s="147">
        <v>0.11823431123048067</v>
      </c>
      <c r="AD44" s="109"/>
      <c r="AE44" s="109"/>
      <c r="AF44" s="109"/>
      <c r="AG44" s="109"/>
      <c r="AH44" s="109"/>
      <c r="AI44" s="111"/>
      <c r="AJ44" s="109"/>
      <c r="AK44" s="109"/>
      <c r="AN44" s="110"/>
      <c r="AO44" s="110"/>
    </row>
    <row r="45" spans="1:41" ht="15.75">
      <c r="A45" s="105">
        <v>6.98</v>
      </c>
      <c r="B45" s="110">
        <f t="shared" si="13"/>
        <v>0.8438554226231612</v>
      </c>
      <c r="C45" s="118" t="s">
        <v>59</v>
      </c>
      <c r="F45" s="133" t="s">
        <v>359</v>
      </c>
      <c r="G45" s="133">
        <v>13.9</v>
      </c>
      <c r="O45" s="114">
        <v>12.432</v>
      </c>
      <c r="P45" s="115">
        <f t="shared" si="14"/>
        <v>1.094541001456839</v>
      </c>
      <c r="R45" s="115">
        <v>1.1619666163640747</v>
      </c>
      <c r="S45" s="105">
        <f t="shared" si="15"/>
        <v>8</v>
      </c>
      <c r="T45" s="110">
        <f t="shared" si="16"/>
        <v>0.2606837606837607</v>
      </c>
      <c r="U45" s="110">
        <f t="shared" si="17"/>
        <v>-0.641239239485003</v>
      </c>
      <c r="W45" s="146">
        <v>9</v>
      </c>
      <c r="X45" s="111">
        <v>0.954242509439325</v>
      </c>
      <c r="Y45" s="109"/>
      <c r="Z45" s="147">
        <v>0.954242509439325</v>
      </c>
      <c r="AA45" s="109">
        <v>13</v>
      </c>
      <c r="AB45" s="147">
        <v>0.5941176470588235</v>
      </c>
      <c r="AC45" s="147">
        <v>0.23815005079086404</v>
      </c>
      <c r="AD45" s="109"/>
      <c r="AE45" s="109"/>
      <c r="AF45" s="109"/>
      <c r="AG45" s="109"/>
      <c r="AH45" s="109"/>
      <c r="AI45" s="111"/>
      <c r="AJ45" s="109"/>
      <c r="AK45" s="109"/>
      <c r="AN45" s="110"/>
      <c r="AO45" s="110"/>
    </row>
    <row r="46" spans="1:41" ht="15.75">
      <c r="A46" s="105">
        <v>6.6</v>
      </c>
      <c r="B46" s="110">
        <f t="shared" si="13"/>
        <v>0.8195439355418686</v>
      </c>
      <c r="C46" s="115">
        <f>STDEV(B37:B48)</f>
        <v>0.0732871946460979</v>
      </c>
      <c r="F46" s="133" t="s">
        <v>359</v>
      </c>
      <c r="G46" s="133">
        <v>17.2</v>
      </c>
      <c r="H46" s="105">
        <f>AVERAGE(G45:G46)</f>
        <v>15.55</v>
      </c>
      <c r="I46" s="110">
        <f>LOG(H46)</f>
        <v>1.1917303933628562</v>
      </c>
      <c r="O46" s="114">
        <v>19.433999999999997</v>
      </c>
      <c r="P46" s="115">
        <f t="shared" si="14"/>
        <v>1.2885621983938205</v>
      </c>
      <c r="R46" s="115">
        <v>1.1771323170417747</v>
      </c>
      <c r="S46" s="105">
        <f t="shared" si="15"/>
        <v>9</v>
      </c>
      <c r="T46" s="110">
        <f t="shared" si="16"/>
        <v>0.2948717948717949</v>
      </c>
      <c r="U46" s="110">
        <f t="shared" si="17"/>
        <v>-0.5392075763666071</v>
      </c>
      <c r="W46" s="146">
        <v>10.8</v>
      </c>
      <c r="X46" s="111">
        <v>1.0334237554869496</v>
      </c>
      <c r="Y46" s="109" t="s">
        <v>139</v>
      </c>
      <c r="Z46" s="147">
        <v>0.954242509439325</v>
      </c>
      <c r="AA46" s="109">
        <v>14</v>
      </c>
      <c r="AB46" s="147">
        <v>0.6411764705882353</v>
      </c>
      <c r="AC46" s="147">
        <v>0.36160599847789854</v>
      </c>
      <c r="AD46" s="109"/>
      <c r="AE46" s="109"/>
      <c r="AF46" s="109"/>
      <c r="AG46" s="109"/>
      <c r="AH46" s="109"/>
      <c r="AI46" s="111"/>
      <c r="AJ46" s="109"/>
      <c r="AK46" s="109"/>
      <c r="AN46" s="110"/>
      <c r="AO46" s="110"/>
    </row>
    <row r="47" spans="1:41" ht="15.75">
      <c r="A47" s="105">
        <v>8.44</v>
      </c>
      <c r="B47" s="110">
        <f t="shared" si="13"/>
        <v>0.926342446625655</v>
      </c>
      <c r="C47" s="118" t="s">
        <v>126</v>
      </c>
      <c r="F47" s="134" t="s">
        <v>285</v>
      </c>
      <c r="G47" s="134">
        <v>21.4</v>
      </c>
      <c r="O47" s="114">
        <v>18.846000000000004</v>
      </c>
      <c r="P47" s="115">
        <f t="shared" si="14"/>
        <v>1.2752191867821485</v>
      </c>
      <c r="R47" s="115">
        <v>1.198931869932209</v>
      </c>
      <c r="S47" s="105">
        <f t="shared" si="15"/>
        <v>10</v>
      </c>
      <c r="T47" s="110">
        <f t="shared" si="16"/>
        <v>0.32905982905982906</v>
      </c>
      <c r="U47" s="110">
        <f t="shared" si="17"/>
        <v>-0.44251009967410937</v>
      </c>
      <c r="W47" s="146">
        <v>7.15</v>
      </c>
      <c r="X47" s="111">
        <v>0.8543060418010806</v>
      </c>
      <c r="Y47" s="146">
        <f>MEDIAN(W33:W53)</f>
        <v>8.4</v>
      </c>
      <c r="Z47" s="147">
        <v>0.9822712330395684</v>
      </c>
      <c r="AA47" s="109">
        <v>15</v>
      </c>
      <c r="AB47" s="147">
        <v>0.6882352941176471</v>
      </c>
      <c r="AC47" s="147">
        <v>0.49085429054684937</v>
      </c>
      <c r="AD47" s="109"/>
      <c r="AE47" s="109"/>
      <c r="AF47" s="109"/>
      <c r="AG47" s="109"/>
      <c r="AH47" s="109"/>
      <c r="AI47" s="111"/>
      <c r="AJ47" s="109"/>
      <c r="AK47" s="109"/>
      <c r="AN47" s="110"/>
      <c r="AO47" s="110"/>
    </row>
    <row r="48" spans="1:41" ht="15.75">
      <c r="A48" s="105">
        <v>8.4</v>
      </c>
      <c r="B48" s="110">
        <f t="shared" si="13"/>
        <v>0.9242792860618816</v>
      </c>
      <c r="C48" s="115">
        <f>POWER(10,C46)</f>
        <v>1.1838241481385336</v>
      </c>
      <c r="F48" s="134" t="s">
        <v>285</v>
      </c>
      <c r="G48" s="134">
        <v>23.2</v>
      </c>
      <c r="H48" s="105">
        <f>AVERAGE(G47:G48)</f>
        <v>22.299999999999997</v>
      </c>
      <c r="I48" s="110">
        <f>LOG(H48)</f>
        <v>1.3483048630481607</v>
      </c>
      <c r="O48" s="114">
        <v>19.494</v>
      </c>
      <c r="P48" s="115">
        <f t="shared" si="14"/>
        <v>1.2899009617286263</v>
      </c>
      <c r="R48" s="115">
        <v>1.245018870737753</v>
      </c>
      <c r="S48" s="105">
        <f t="shared" si="15"/>
        <v>11</v>
      </c>
      <c r="T48" s="110">
        <f t="shared" si="16"/>
        <v>0.36324786324786323</v>
      </c>
      <c r="U48" s="110">
        <f t="shared" si="17"/>
        <v>-0.3497916623018682</v>
      </c>
      <c r="W48" s="146">
        <v>12</v>
      </c>
      <c r="X48" s="111">
        <v>1.0791812460476249</v>
      </c>
      <c r="Y48" s="109" t="s">
        <v>598</v>
      </c>
      <c r="Z48" s="147">
        <v>0.9822712330395684</v>
      </c>
      <c r="AA48" s="109">
        <v>16</v>
      </c>
      <c r="AB48" s="147">
        <v>0.7352941176470589</v>
      </c>
      <c r="AC48" s="147">
        <v>0.6289042175922077</v>
      </c>
      <c r="AD48" s="109"/>
      <c r="AE48" s="109"/>
      <c r="AF48" s="109"/>
      <c r="AG48" s="109"/>
      <c r="AH48" s="109"/>
      <c r="AI48" s="111"/>
      <c r="AJ48" s="109"/>
      <c r="AK48" s="109"/>
      <c r="AN48" s="110"/>
      <c r="AO48" s="110"/>
    </row>
    <row r="49" spans="2:41" ht="15.75">
      <c r="B49" s="105"/>
      <c r="C49" s="105"/>
      <c r="F49" s="135" t="s">
        <v>286</v>
      </c>
      <c r="G49" s="135">
        <v>15.5</v>
      </c>
      <c r="O49" s="114">
        <v>25.806</v>
      </c>
      <c r="P49" s="115">
        <f t="shared" si="14"/>
        <v>1.4117206929377355</v>
      </c>
      <c r="R49" s="115">
        <v>1.256717745977487</v>
      </c>
      <c r="S49" s="105">
        <f t="shared" si="15"/>
        <v>12</v>
      </c>
      <c r="T49" s="110">
        <f t="shared" si="16"/>
        <v>0.3974358974358974</v>
      </c>
      <c r="U49" s="110">
        <f t="shared" si="17"/>
        <v>-0.2599904291855637</v>
      </c>
      <c r="W49" s="146">
        <v>9.6</v>
      </c>
      <c r="X49" s="111">
        <v>0.9822712330395684</v>
      </c>
      <c r="Y49" s="146">
        <f>AVERAGE(W33:W53)</f>
        <v>8.854761904761906</v>
      </c>
      <c r="Z49" s="147">
        <v>1</v>
      </c>
      <c r="AA49" s="109">
        <v>17</v>
      </c>
      <c r="AB49" s="147">
        <v>0.7823529411764706</v>
      </c>
      <c r="AC49" s="147">
        <v>0.7801645551808178</v>
      </c>
      <c r="AD49" s="109"/>
      <c r="AE49" s="109"/>
      <c r="AF49" s="109"/>
      <c r="AG49" s="109"/>
      <c r="AH49" s="109"/>
      <c r="AI49" s="111"/>
      <c r="AJ49" s="109"/>
      <c r="AK49" s="109"/>
      <c r="AN49" s="110"/>
      <c r="AO49" s="110"/>
    </row>
    <row r="50" spans="2:41" ht="15.75">
      <c r="B50" s="105"/>
      <c r="C50" s="105"/>
      <c r="F50" s="135" t="s">
        <v>286</v>
      </c>
      <c r="G50" s="135">
        <v>17.4</v>
      </c>
      <c r="H50" s="105">
        <f>AVERAGE(G49:G50)</f>
        <v>16.45</v>
      </c>
      <c r="I50" s="110">
        <f>LOG(H50)</f>
        <v>1.2161659022859932</v>
      </c>
      <c r="O50" s="114">
        <v>15.81</v>
      </c>
      <c r="P50" s="115">
        <f t="shared" si="14"/>
        <v>1.198931869932209</v>
      </c>
      <c r="R50" s="115">
        <v>1.2608819504635864</v>
      </c>
      <c r="S50" s="105">
        <f t="shared" si="15"/>
        <v>13</v>
      </c>
      <c r="T50" s="110">
        <f t="shared" si="16"/>
        <v>0.43162393162393164</v>
      </c>
      <c r="U50" s="110">
        <f t="shared" si="17"/>
        <v>-0.17224124349013437</v>
      </c>
      <c r="W50" s="146">
        <v>8.4</v>
      </c>
      <c r="X50" s="111">
        <v>0.9242792860618816</v>
      </c>
      <c r="Y50" s="148" t="s">
        <v>59</v>
      </c>
      <c r="Z50" s="147">
        <v>1.0334237554869496</v>
      </c>
      <c r="AA50" s="109">
        <v>18</v>
      </c>
      <c r="AB50" s="147">
        <v>0.8294117647058824</v>
      </c>
      <c r="AC50" s="147">
        <v>0.9518430488242302</v>
      </c>
      <c r="AD50" s="109"/>
      <c r="AE50" s="109"/>
      <c r="AF50" s="109"/>
      <c r="AG50" s="109"/>
      <c r="AH50" s="109"/>
      <c r="AI50" s="111"/>
      <c r="AJ50" s="109"/>
      <c r="AK50" s="111"/>
      <c r="AN50" s="110"/>
      <c r="AO50" s="110"/>
    </row>
    <row r="51" spans="1:41" ht="15.75">
      <c r="A51" s="105" t="s">
        <v>404</v>
      </c>
      <c r="B51" s="105"/>
      <c r="C51" s="105"/>
      <c r="F51" s="103" t="s">
        <v>287</v>
      </c>
      <c r="G51" s="103">
        <v>11.3</v>
      </c>
      <c r="O51" s="114">
        <v>13.085999999999999</v>
      </c>
      <c r="P51" s="115">
        <f t="shared" si="14"/>
        <v>1.116806915962344</v>
      </c>
      <c r="R51" s="115">
        <v>1.2752191867821485</v>
      </c>
      <c r="S51" s="105">
        <f t="shared" si="15"/>
        <v>14</v>
      </c>
      <c r="T51" s="110">
        <f t="shared" si="16"/>
        <v>0.4658119658119658</v>
      </c>
      <c r="U51" s="110">
        <f t="shared" si="17"/>
        <v>-0.08580173016525805</v>
      </c>
      <c r="W51" s="146">
        <v>8.4</v>
      </c>
      <c r="X51" s="111">
        <v>0.9242792860618816</v>
      </c>
      <c r="Y51" s="147">
        <v>0.07732001533674926</v>
      </c>
      <c r="Z51" s="147">
        <v>1.0334237554869496</v>
      </c>
      <c r="AA51" s="109">
        <v>19</v>
      </c>
      <c r="AB51" s="147">
        <v>0.8764705882352941</v>
      </c>
      <c r="AC51" s="147">
        <v>1.1575230018934235</v>
      </c>
      <c r="AD51" s="109"/>
      <c r="AE51" s="109"/>
      <c r="AF51" s="109"/>
      <c r="AG51" s="109"/>
      <c r="AH51" s="109"/>
      <c r="AI51" s="111"/>
      <c r="AJ51" s="109"/>
      <c r="AK51" s="109"/>
      <c r="AN51" s="110"/>
      <c r="AO51" s="110"/>
    </row>
    <row r="52" spans="1:41" ht="15.75">
      <c r="A52" s="110">
        <v>0.6434526764861874</v>
      </c>
      <c r="B52" s="105">
        <v>1</v>
      </c>
      <c r="C52" s="110">
        <f>(B52-(3/8))/27.25</f>
        <v>0.022935779816513763</v>
      </c>
      <c r="D52" s="110">
        <f>NORMSINV(C52)</f>
        <v>-1.9965773390140384</v>
      </c>
      <c r="E52" s="110"/>
      <c r="F52" s="103" t="s">
        <v>287</v>
      </c>
      <c r="G52" s="103">
        <v>12.8</v>
      </c>
      <c r="O52" s="114">
        <v>18.234</v>
      </c>
      <c r="P52" s="115">
        <f t="shared" si="14"/>
        <v>1.2608819504635864</v>
      </c>
      <c r="R52" s="115">
        <v>1.276461804173244</v>
      </c>
      <c r="S52" s="105">
        <f t="shared" si="15"/>
        <v>15</v>
      </c>
      <c r="T52" s="110">
        <f t="shared" si="16"/>
        <v>0.5</v>
      </c>
      <c r="U52" s="110">
        <f t="shared" si="17"/>
        <v>0</v>
      </c>
      <c r="W52" s="146">
        <v>9</v>
      </c>
      <c r="X52" s="111">
        <v>0.954242509439325</v>
      </c>
      <c r="Y52" s="148" t="s">
        <v>126</v>
      </c>
      <c r="Z52" s="147">
        <v>1.0755469613925308</v>
      </c>
      <c r="AA52" s="109">
        <v>20</v>
      </c>
      <c r="AB52" s="147">
        <v>0.9235294117647059</v>
      </c>
      <c r="AC52" s="147">
        <v>1.4292209016275592</v>
      </c>
      <c r="AD52" s="109"/>
      <c r="AE52" s="109"/>
      <c r="AF52" s="109"/>
      <c r="AG52" s="109"/>
      <c r="AH52" s="109"/>
      <c r="AI52" s="111"/>
      <c r="AJ52" s="109"/>
      <c r="AK52" s="111"/>
      <c r="AN52" s="110"/>
      <c r="AO52" s="110"/>
    </row>
    <row r="53" spans="1:41" ht="15.75">
      <c r="A53" s="110">
        <v>0.6893088591236202</v>
      </c>
      <c r="B53" s="105">
        <f>1+B52</f>
        <v>2</v>
      </c>
      <c r="C53" s="110">
        <f aca="true" t="shared" si="18" ref="C53:C78">(B53-(3/8))/27.25</f>
        <v>0.05963302752293578</v>
      </c>
      <c r="D53" s="110">
        <f aca="true" t="shared" si="19" ref="D53:D78">NORMSINV(C53)</f>
        <v>-1.5578598322463222</v>
      </c>
      <c r="E53" s="110"/>
      <c r="F53" s="103" t="s">
        <v>287</v>
      </c>
      <c r="G53" s="103">
        <v>18</v>
      </c>
      <c r="O53" s="114">
        <v>14.124</v>
      </c>
      <c r="P53" s="115">
        <f t="shared" si="14"/>
        <v>1.1499577088910595</v>
      </c>
      <c r="R53" s="115">
        <v>1.2783877252092826</v>
      </c>
      <c r="S53" s="105">
        <f t="shared" si="15"/>
        <v>16</v>
      </c>
      <c r="T53" s="110">
        <f t="shared" si="16"/>
        <v>0.5341880341880342</v>
      </c>
      <c r="U53" s="110">
        <f t="shared" si="17"/>
        <v>0.08580173016525805</v>
      </c>
      <c r="W53" s="146">
        <v>7.8</v>
      </c>
      <c r="X53" s="111">
        <v>0.8920946026904805</v>
      </c>
      <c r="Y53" s="147">
        <v>1.1948682338036976</v>
      </c>
      <c r="Z53" s="147">
        <v>1.0791812460476249</v>
      </c>
      <c r="AA53" s="109">
        <v>21</v>
      </c>
      <c r="AB53" s="147">
        <v>0.9705882352941176</v>
      </c>
      <c r="AC53" s="147">
        <v>1.8895116227213293</v>
      </c>
      <c r="AD53" s="109"/>
      <c r="AE53" s="109"/>
      <c r="AF53" s="109"/>
      <c r="AG53" s="109"/>
      <c r="AH53" s="109"/>
      <c r="AI53" s="111"/>
      <c r="AJ53" s="109"/>
      <c r="AK53" s="109"/>
      <c r="AL53" s="126"/>
      <c r="AO53" s="110"/>
    </row>
    <row r="54" spans="1:41" ht="15.75">
      <c r="A54" s="110">
        <v>0.7291647896927701</v>
      </c>
      <c r="B54" s="105">
        <f aca="true" t="shared" si="20" ref="B54:B78">1+B53</f>
        <v>3</v>
      </c>
      <c r="C54" s="110">
        <f t="shared" si="18"/>
        <v>0.0963302752293578</v>
      </c>
      <c r="D54" s="110">
        <f t="shared" si="19"/>
        <v>-1.3027488421357702</v>
      </c>
      <c r="E54" s="110"/>
      <c r="F54" s="103" t="s">
        <v>287</v>
      </c>
      <c r="G54" s="103">
        <v>17.4</v>
      </c>
      <c r="H54" s="110">
        <f>AVERAGE(G51:G54)</f>
        <v>14.875</v>
      </c>
      <c r="I54" s="110">
        <f>LOG(H54)</f>
        <v>1.172456974400587</v>
      </c>
      <c r="O54" s="114">
        <v>20.22</v>
      </c>
      <c r="P54" s="115">
        <f t="shared" si="14"/>
        <v>1.3057811512549822</v>
      </c>
      <c r="R54" s="115">
        <v>1.2873537727147464</v>
      </c>
      <c r="S54" s="105">
        <f t="shared" si="15"/>
        <v>17</v>
      </c>
      <c r="T54" s="110">
        <f t="shared" si="16"/>
        <v>0.5683760683760684</v>
      </c>
      <c r="U54" s="110">
        <f t="shared" si="17"/>
        <v>0.17224124349013437</v>
      </c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11"/>
      <c r="AJ54" s="109"/>
      <c r="AK54" s="111"/>
      <c r="AL54" s="127"/>
      <c r="AO54" s="110"/>
    </row>
    <row r="55" spans="1:41" ht="15.75">
      <c r="A55" s="110">
        <v>0.7371926427047372</v>
      </c>
      <c r="B55" s="105">
        <f t="shared" si="20"/>
        <v>4</v>
      </c>
      <c r="C55" s="110">
        <f t="shared" si="18"/>
        <v>0.13302752293577982</v>
      </c>
      <c r="D55" s="110">
        <f t="shared" si="19"/>
        <v>-1.1121937859570608</v>
      </c>
      <c r="E55" s="110"/>
      <c r="F55" s="136" t="s">
        <v>288</v>
      </c>
      <c r="G55" s="136">
        <v>18.2</v>
      </c>
      <c r="O55" s="114">
        <v>12.72</v>
      </c>
      <c r="P55" s="115">
        <f t="shared" si="14"/>
        <v>1.104487111312395</v>
      </c>
      <c r="R55" s="115">
        <v>1.2885621983938205</v>
      </c>
      <c r="S55" s="105">
        <f t="shared" si="15"/>
        <v>18</v>
      </c>
      <c r="T55" s="110">
        <f t="shared" si="16"/>
        <v>0.6025641025641025</v>
      </c>
      <c r="U55" s="110">
        <f t="shared" si="17"/>
        <v>0.2599904291855637</v>
      </c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11"/>
      <c r="AJ55" s="109"/>
      <c r="AK55" s="109"/>
      <c r="AO55" s="110"/>
    </row>
    <row r="56" spans="1:41" ht="15.75">
      <c r="A56" s="110">
        <v>0.7379873263334308</v>
      </c>
      <c r="B56" s="105">
        <f t="shared" si="20"/>
        <v>5</v>
      </c>
      <c r="C56" s="110">
        <f t="shared" si="18"/>
        <v>0.16972477064220184</v>
      </c>
      <c r="D56" s="110">
        <f t="shared" si="19"/>
        <v>-0.9552536539558787</v>
      </c>
      <c r="E56" s="110"/>
      <c r="F56" s="136" t="s">
        <v>288</v>
      </c>
      <c r="G56" s="136">
        <v>13.9</v>
      </c>
      <c r="O56" s="114">
        <v>21.78</v>
      </c>
      <c r="P56" s="115">
        <f t="shared" si="14"/>
        <v>1.338057875419756</v>
      </c>
      <c r="R56" s="115">
        <v>1.2899009617286263</v>
      </c>
      <c r="S56" s="105">
        <f t="shared" si="15"/>
        <v>19</v>
      </c>
      <c r="T56" s="110">
        <f t="shared" si="16"/>
        <v>0.6367521367521367</v>
      </c>
      <c r="U56" s="110">
        <f t="shared" si="17"/>
        <v>0.3497916623018682</v>
      </c>
      <c r="W56" s="109" t="s">
        <v>224</v>
      </c>
      <c r="X56" s="109" t="s">
        <v>403</v>
      </c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11"/>
      <c r="AJ56" s="109"/>
      <c r="AK56" s="111"/>
      <c r="AL56" s="129"/>
      <c r="AO56" s="110"/>
    </row>
    <row r="57" spans="1:41" ht="15.75">
      <c r="A57" s="110">
        <v>0.7715874808812554</v>
      </c>
      <c r="B57" s="105">
        <f t="shared" si="20"/>
        <v>6</v>
      </c>
      <c r="C57" s="110">
        <f t="shared" si="18"/>
        <v>0.20642201834862386</v>
      </c>
      <c r="D57" s="110">
        <f t="shared" si="19"/>
        <v>-0.8188987976609496</v>
      </c>
      <c r="E57" s="110"/>
      <c r="F57" s="136" t="s">
        <v>288</v>
      </c>
      <c r="G57" s="136">
        <v>13.8</v>
      </c>
      <c r="O57" s="114">
        <v>18.9</v>
      </c>
      <c r="P57" s="115">
        <f t="shared" si="14"/>
        <v>1.276461804173244</v>
      </c>
      <c r="R57" s="115">
        <v>1.301897717195208</v>
      </c>
      <c r="S57" s="105">
        <f t="shared" si="15"/>
        <v>20</v>
      </c>
      <c r="T57" s="110">
        <f t="shared" si="16"/>
        <v>0.6709401709401709</v>
      </c>
      <c r="U57" s="110">
        <f t="shared" si="17"/>
        <v>0.44251009967410937</v>
      </c>
      <c r="W57" s="146">
        <v>9.6</v>
      </c>
      <c r="X57" s="111">
        <v>0.9822712330395684</v>
      </c>
      <c r="Y57" s="109"/>
      <c r="Z57" s="147">
        <v>0.6020599913279624</v>
      </c>
      <c r="AA57" s="109">
        <v>1</v>
      </c>
      <c r="AB57" s="147">
        <v>0.029411764705882353</v>
      </c>
      <c r="AC57" s="147">
        <v>-1.8895116227213293</v>
      </c>
      <c r="AD57" s="109"/>
      <c r="AE57" s="109"/>
      <c r="AF57" s="109"/>
      <c r="AG57" s="109"/>
      <c r="AH57" s="109"/>
      <c r="AI57" s="109"/>
      <c r="AJ57" s="109"/>
      <c r="AK57" s="109"/>
      <c r="AO57" s="110"/>
    </row>
    <row r="58" spans="1:41" ht="15.75">
      <c r="A58" s="110">
        <v>0.7752462597402364</v>
      </c>
      <c r="B58" s="105">
        <f t="shared" si="20"/>
        <v>7</v>
      </c>
      <c r="C58" s="110">
        <f t="shared" si="18"/>
        <v>0.24311926605504589</v>
      </c>
      <c r="D58" s="110">
        <f t="shared" si="19"/>
        <v>-0.696304596203845</v>
      </c>
      <c r="E58" s="110"/>
      <c r="F58" s="136" t="s">
        <v>288</v>
      </c>
      <c r="G58" s="136">
        <v>17.1</v>
      </c>
      <c r="O58" s="114">
        <v>14.52</v>
      </c>
      <c r="P58" s="115">
        <f t="shared" si="14"/>
        <v>1.1619666163640747</v>
      </c>
      <c r="R58" s="115">
        <v>1.3035848038124636</v>
      </c>
      <c r="S58" s="105">
        <f t="shared" si="15"/>
        <v>21</v>
      </c>
      <c r="T58" s="110">
        <f t="shared" si="16"/>
        <v>0.7051282051282052</v>
      </c>
      <c r="U58" s="110">
        <f t="shared" si="17"/>
        <v>0.5392075763666071</v>
      </c>
      <c r="W58" s="146">
        <v>12</v>
      </c>
      <c r="X58" s="111">
        <v>1.0791812460476249</v>
      </c>
      <c r="Y58" s="109"/>
      <c r="Z58" s="147">
        <v>0.9030899869919435</v>
      </c>
      <c r="AA58" s="109">
        <v>2</v>
      </c>
      <c r="AB58" s="147">
        <v>0.07647058823529412</v>
      </c>
      <c r="AC58" s="147">
        <v>-1.4292209016275592</v>
      </c>
      <c r="AD58" s="109"/>
      <c r="AE58" s="109"/>
      <c r="AF58" s="109"/>
      <c r="AG58" s="109"/>
      <c r="AH58" s="109"/>
      <c r="AI58" s="109"/>
      <c r="AJ58" s="109"/>
      <c r="AK58" s="109"/>
      <c r="AO58" s="110"/>
    </row>
    <row r="59" spans="1:41" ht="15.75">
      <c r="A59" s="110">
        <v>0.7767011839884108</v>
      </c>
      <c r="B59" s="105">
        <f t="shared" si="20"/>
        <v>8</v>
      </c>
      <c r="C59" s="110">
        <f t="shared" si="18"/>
        <v>0.2798165137614679</v>
      </c>
      <c r="D59" s="110">
        <f t="shared" si="19"/>
        <v>-0.5833862815052271</v>
      </c>
      <c r="E59" s="110"/>
      <c r="F59" s="136" t="s">
        <v>288</v>
      </c>
      <c r="G59" s="136">
        <v>16.2</v>
      </c>
      <c r="H59" s="105">
        <f>AVERAGE(G55:G59)</f>
        <v>15.84</v>
      </c>
      <c r="I59" s="110">
        <f>LOG(H59)</f>
        <v>1.1997551772534745</v>
      </c>
      <c r="O59" s="114">
        <v>17.58</v>
      </c>
      <c r="P59" s="115">
        <f t="shared" si="14"/>
        <v>1.245018870737753</v>
      </c>
      <c r="Q59" s="105" t="s">
        <v>141</v>
      </c>
      <c r="R59" s="115">
        <v>1.3057811512549822</v>
      </c>
      <c r="S59" s="105">
        <f t="shared" si="15"/>
        <v>22</v>
      </c>
      <c r="T59" s="110">
        <f t="shared" si="16"/>
        <v>0.7393162393162394</v>
      </c>
      <c r="U59" s="110">
        <f t="shared" si="17"/>
        <v>0.641239239485003</v>
      </c>
      <c r="W59" s="146">
        <v>11</v>
      </c>
      <c r="X59" s="111">
        <v>1.0413926851582251</v>
      </c>
      <c r="Y59" s="109"/>
      <c r="Z59" s="147">
        <v>0.9030899869919435</v>
      </c>
      <c r="AA59" s="109">
        <v>3</v>
      </c>
      <c r="AB59" s="147">
        <v>0.12352941176470589</v>
      </c>
      <c r="AC59" s="147">
        <v>-1.1575230018934235</v>
      </c>
      <c r="AD59" s="109"/>
      <c r="AE59" s="109"/>
      <c r="AF59" s="109"/>
      <c r="AG59" s="109"/>
      <c r="AH59" s="109"/>
      <c r="AI59" s="109"/>
      <c r="AJ59" s="109"/>
      <c r="AK59" s="109"/>
      <c r="AO59" s="110"/>
    </row>
    <row r="60" spans="1:41" ht="15.75">
      <c r="A60" s="110">
        <v>0.7774268223893114</v>
      </c>
      <c r="B60" s="105">
        <f t="shared" si="20"/>
        <v>9</v>
      </c>
      <c r="C60" s="110">
        <f t="shared" si="18"/>
        <v>0.3165137614678899</v>
      </c>
      <c r="D60" s="110">
        <f t="shared" si="19"/>
        <v>-0.4774699391418835</v>
      </c>
      <c r="E60" s="110"/>
      <c r="F60" s="137" t="s">
        <v>289</v>
      </c>
      <c r="G60" s="137">
        <v>16</v>
      </c>
      <c r="O60" s="114">
        <v>20.04</v>
      </c>
      <c r="P60" s="115">
        <f t="shared" si="14"/>
        <v>1.301897717195208</v>
      </c>
      <c r="Q60" s="110">
        <f>AVERAGE(P38:P66)</f>
        <v>1.2553032475027495</v>
      </c>
      <c r="R60" s="115">
        <v>1.338057875419756</v>
      </c>
      <c r="S60" s="105">
        <f t="shared" si="15"/>
        <v>23</v>
      </c>
      <c r="T60" s="110">
        <f t="shared" si="16"/>
        <v>0.7735042735042735</v>
      </c>
      <c r="U60" s="110">
        <f t="shared" si="17"/>
        <v>0.7504377208533697</v>
      </c>
      <c r="W60" s="146">
        <v>8.25</v>
      </c>
      <c r="X60" s="111">
        <v>0.916453948549925</v>
      </c>
      <c r="Y60" s="109"/>
      <c r="Z60" s="147">
        <v>0.916453948549925</v>
      </c>
      <c r="AA60" s="109">
        <v>4</v>
      </c>
      <c r="AB60" s="147">
        <v>0.17058823529411765</v>
      </c>
      <c r="AC60" s="147">
        <v>-0.9518430488242302</v>
      </c>
      <c r="AD60" s="109"/>
      <c r="AE60" s="109"/>
      <c r="AF60" s="109"/>
      <c r="AG60" s="109"/>
      <c r="AH60" s="109"/>
      <c r="AI60" s="109"/>
      <c r="AJ60" s="109"/>
      <c r="AK60" s="109"/>
      <c r="AO60" s="110"/>
    </row>
    <row r="61" spans="1:41" ht="15.75">
      <c r="A61" s="110">
        <v>0.7781512503836436</v>
      </c>
      <c r="B61" s="105">
        <f t="shared" si="20"/>
        <v>10</v>
      </c>
      <c r="C61" s="110">
        <f t="shared" si="18"/>
        <v>0.3532110091743119</v>
      </c>
      <c r="D61" s="110">
        <f t="shared" si="19"/>
        <v>-0.376666093870881</v>
      </c>
      <c r="E61" s="110"/>
      <c r="F61" s="137" t="s">
        <v>289</v>
      </c>
      <c r="G61" s="137">
        <v>19.4</v>
      </c>
      <c r="O61" s="114">
        <v>12.72</v>
      </c>
      <c r="P61" s="115">
        <f t="shared" si="14"/>
        <v>1.104487111312395</v>
      </c>
      <c r="Q61" s="118" t="s">
        <v>598</v>
      </c>
      <c r="R61" s="115">
        <v>1.3598734103327423</v>
      </c>
      <c r="S61" s="105">
        <f t="shared" si="15"/>
        <v>24</v>
      </c>
      <c r="T61" s="110">
        <f t="shared" si="16"/>
        <v>0.8076923076923077</v>
      </c>
      <c r="U61" s="110">
        <f t="shared" si="17"/>
        <v>0.8694246389495675</v>
      </c>
      <c r="W61" s="146">
        <v>9.6</v>
      </c>
      <c r="X61" s="111">
        <v>0.9822712330395684</v>
      </c>
      <c r="Y61" s="109"/>
      <c r="Z61" s="147">
        <v>0.924</v>
      </c>
      <c r="AA61" s="109">
        <v>5</v>
      </c>
      <c r="AB61" s="147">
        <v>0.21764705882352942</v>
      </c>
      <c r="AC61" s="147">
        <v>-0.7801645551808178</v>
      </c>
      <c r="AD61" s="109"/>
      <c r="AE61" s="109"/>
      <c r="AF61" s="109"/>
      <c r="AG61" s="109"/>
      <c r="AH61" s="109"/>
      <c r="AI61" s="111"/>
      <c r="AJ61" s="109"/>
      <c r="AK61" s="109"/>
      <c r="AO61" s="110"/>
    </row>
    <row r="62" spans="1:39" ht="15.75">
      <c r="A62" s="110">
        <v>0.7958800173440752</v>
      </c>
      <c r="B62" s="105">
        <f t="shared" si="20"/>
        <v>11</v>
      </c>
      <c r="C62" s="110">
        <f t="shared" si="18"/>
        <v>0.38990825688073394</v>
      </c>
      <c r="D62" s="110">
        <f t="shared" si="19"/>
        <v>-0.27955820769420825</v>
      </c>
      <c r="E62" s="110"/>
      <c r="F62" s="137" t="s">
        <v>289</v>
      </c>
      <c r="G62" s="137">
        <v>23.8</v>
      </c>
      <c r="O62" s="114">
        <v>19.38</v>
      </c>
      <c r="P62" s="115">
        <f t="shared" si="14"/>
        <v>1.2873537727147464</v>
      </c>
      <c r="Q62" s="114">
        <f>AVERAGE(O38:O66)</f>
        <v>18.577448275862064</v>
      </c>
      <c r="R62" s="115">
        <v>1.3888114134735237</v>
      </c>
      <c r="S62" s="105">
        <f t="shared" si="15"/>
        <v>25</v>
      </c>
      <c r="T62" s="110">
        <f t="shared" si="16"/>
        <v>0.8418803418803419</v>
      </c>
      <c r="U62" s="110">
        <f t="shared" si="17"/>
        <v>1.0022154128819238</v>
      </c>
      <c r="W62" s="146">
        <v>10</v>
      </c>
      <c r="X62" s="111">
        <v>1</v>
      </c>
      <c r="Y62" s="109"/>
      <c r="Z62" s="147">
        <v>0.9242792860618816</v>
      </c>
      <c r="AA62" s="109">
        <v>6</v>
      </c>
      <c r="AB62" s="147">
        <v>0.2647058823529412</v>
      </c>
      <c r="AC62" s="147">
        <v>-0.6289042175922077</v>
      </c>
      <c r="AD62" s="109"/>
      <c r="AE62" s="109"/>
      <c r="AF62" s="109"/>
      <c r="AG62" s="109"/>
      <c r="AH62" s="109"/>
      <c r="AI62" s="111"/>
      <c r="AJ62" s="109"/>
      <c r="AK62" s="109"/>
      <c r="AM62" s="110"/>
    </row>
    <row r="63" spans="1:39" ht="15.75">
      <c r="A63" s="110">
        <v>0.7958800173440752</v>
      </c>
      <c r="B63" s="105">
        <f t="shared" si="20"/>
        <v>12</v>
      </c>
      <c r="C63" s="110">
        <f t="shared" si="18"/>
        <v>0.42660550458715596</v>
      </c>
      <c r="D63" s="110">
        <f t="shared" si="19"/>
        <v>-0.18502305465517566</v>
      </c>
      <c r="E63" s="110"/>
      <c r="F63" s="137" t="s">
        <v>289</v>
      </c>
      <c r="G63" s="137">
        <v>18.9</v>
      </c>
      <c r="O63" s="114">
        <v>11.64</v>
      </c>
      <c r="P63" s="115">
        <f t="shared" si="14"/>
        <v>1.0659529803138696</v>
      </c>
      <c r="Q63" s="118" t="s">
        <v>59</v>
      </c>
      <c r="R63" s="115">
        <v>1.4034637013453175</v>
      </c>
      <c r="S63" s="105">
        <f t="shared" si="15"/>
        <v>26</v>
      </c>
      <c r="T63" s="110">
        <f t="shared" si="16"/>
        <v>0.8760683760683761</v>
      </c>
      <c r="U63" s="110">
        <f t="shared" si="17"/>
        <v>1.155553945864085</v>
      </c>
      <c r="W63" s="146">
        <v>9.6</v>
      </c>
      <c r="X63" s="111">
        <v>0.9822712330395684</v>
      </c>
      <c r="Y63" s="109"/>
      <c r="Z63" s="147">
        <v>0.954242509439325</v>
      </c>
      <c r="AA63" s="109">
        <v>7</v>
      </c>
      <c r="AB63" s="147">
        <v>0.31176470588235294</v>
      </c>
      <c r="AC63" s="147">
        <v>-0.49085429054684937</v>
      </c>
      <c r="AD63" s="109"/>
      <c r="AE63" s="109"/>
      <c r="AF63" s="109"/>
      <c r="AG63" s="109"/>
      <c r="AH63" s="109"/>
      <c r="AI63" s="111"/>
      <c r="AJ63" s="109"/>
      <c r="AK63" s="109"/>
      <c r="AM63" s="110"/>
    </row>
    <row r="64" spans="1:39" ht="15.75">
      <c r="A64" s="110">
        <v>0.8228216453031046</v>
      </c>
      <c r="B64" s="105">
        <f t="shared" si="20"/>
        <v>13</v>
      </c>
      <c r="C64" s="110">
        <f t="shared" si="18"/>
        <v>0.463302752293578</v>
      </c>
      <c r="D64" s="110">
        <f t="shared" si="19"/>
        <v>-0.0921158971323166</v>
      </c>
      <c r="E64" s="110"/>
      <c r="F64" s="137" t="s">
        <v>289</v>
      </c>
      <c r="G64" s="137">
        <v>21.5</v>
      </c>
      <c r="O64" s="114">
        <v>29.28</v>
      </c>
      <c r="P64" s="115">
        <f t="shared" si="14"/>
        <v>1.466571072386354</v>
      </c>
      <c r="Q64" s="115">
        <f>STDEV(P38:P66)</f>
        <v>0.11165111435983424</v>
      </c>
      <c r="R64" s="115">
        <v>1.4112155230751429</v>
      </c>
      <c r="S64" s="105">
        <f t="shared" si="15"/>
        <v>27</v>
      </c>
      <c r="T64" s="110">
        <f t="shared" si="16"/>
        <v>0.9102564102564102</v>
      </c>
      <c r="U64" s="110">
        <f t="shared" si="17"/>
        <v>1.3423368727671914</v>
      </c>
      <c r="W64" s="146">
        <v>8.4</v>
      </c>
      <c r="X64" s="111">
        <v>0.9242792860618816</v>
      </c>
      <c r="Y64" s="109"/>
      <c r="Z64" s="147">
        <v>0.9822712330395684</v>
      </c>
      <c r="AA64" s="109">
        <v>8</v>
      </c>
      <c r="AB64" s="147">
        <v>0.3588235294117647</v>
      </c>
      <c r="AC64" s="147">
        <v>-0.36160599847789854</v>
      </c>
      <c r="AD64" s="109"/>
      <c r="AE64" s="109"/>
      <c r="AF64" s="109"/>
      <c r="AG64" s="109"/>
      <c r="AH64" s="109"/>
      <c r="AI64" s="111"/>
      <c r="AJ64" s="109"/>
      <c r="AK64" s="109"/>
      <c r="AM64" s="110"/>
    </row>
    <row r="65" spans="1:39" ht="15.75">
      <c r="A65" s="110">
        <v>0.823474229170301</v>
      </c>
      <c r="B65" s="105">
        <f t="shared" si="20"/>
        <v>14</v>
      </c>
      <c r="C65" s="110">
        <f t="shared" si="18"/>
        <v>0.5</v>
      </c>
      <c r="D65" s="110">
        <f t="shared" si="19"/>
        <v>0</v>
      </c>
      <c r="E65" s="110"/>
      <c r="F65" s="137" t="s">
        <v>289</v>
      </c>
      <c r="G65" s="137">
        <v>12.4</v>
      </c>
      <c r="O65" s="114">
        <v>24.48</v>
      </c>
      <c r="P65" s="115">
        <f t="shared" si="14"/>
        <v>1.3888114134735237</v>
      </c>
      <c r="Q65" s="118" t="s">
        <v>126</v>
      </c>
      <c r="R65" s="115">
        <v>1.4117206929377355</v>
      </c>
      <c r="S65" s="105">
        <f t="shared" si="15"/>
        <v>28</v>
      </c>
      <c r="T65" s="110">
        <f t="shared" si="16"/>
        <v>0.9444444444444444</v>
      </c>
      <c r="U65" s="110">
        <f t="shared" si="17"/>
        <v>1.5932164387777448</v>
      </c>
      <c r="W65" s="146">
        <v>10.8</v>
      </c>
      <c r="X65" s="111">
        <v>1.0334237554869496</v>
      </c>
      <c r="Y65" s="109"/>
      <c r="Z65" s="147">
        <v>0.9822712330395684</v>
      </c>
      <c r="AA65" s="109">
        <v>9</v>
      </c>
      <c r="AB65" s="147">
        <v>0.40588235294117647</v>
      </c>
      <c r="AC65" s="147">
        <v>-0.23815005079086404</v>
      </c>
      <c r="AD65" s="109"/>
      <c r="AE65" s="109"/>
      <c r="AF65" s="109"/>
      <c r="AG65" s="109"/>
      <c r="AH65" s="109"/>
      <c r="AI65" s="111"/>
      <c r="AJ65" s="109"/>
      <c r="AK65" s="109"/>
      <c r="AM65" s="110"/>
    </row>
    <row r="66" spans="1:39" ht="15.75">
      <c r="A66" s="110">
        <v>0.824125833916549</v>
      </c>
      <c r="B66" s="105">
        <f t="shared" si="20"/>
        <v>15</v>
      </c>
      <c r="C66" s="110">
        <f t="shared" si="18"/>
        <v>0.536697247706422</v>
      </c>
      <c r="D66" s="110">
        <f t="shared" si="19"/>
        <v>0.0921158971323166</v>
      </c>
      <c r="E66" s="110"/>
      <c r="F66" s="137" t="s">
        <v>289</v>
      </c>
      <c r="G66" s="137">
        <v>17.8</v>
      </c>
      <c r="H66" s="110">
        <f>AVERAGE(G60:G66)</f>
        <v>18.542857142857144</v>
      </c>
      <c r="I66" s="110">
        <f>LOG(H66)</f>
        <v>1.2681766524500937</v>
      </c>
      <c r="O66" s="114">
        <v>18.06</v>
      </c>
      <c r="P66" s="115">
        <f t="shared" si="14"/>
        <v>1.256717745977487</v>
      </c>
      <c r="Q66" s="115">
        <f>POWER(10,Q64)</f>
        <v>1.2931565811147192</v>
      </c>
      <c r="R66" s="115">
        <v>1.466571072386354</v>
      </c>
      <c r="S66" s="105">
        <f t="shared" si="15"/>
        <v>29</v>
      </c>
      <c r="T66" s="110">
        <f t="shared" si="16"/>
        <v>0.9786324786324786</v>
      </c>
      <c r="U66" s="110">
        <f t="shared" si="17"/>
        <v>2.02629053092096</v>
      </c>
      <c r="W66" s="146">
        <v>8</v>
      </c>
      <c r="X66" s="111">
        <v>0.9030899869919435</v>
      </c>
      <c r="Y66" s="109"/>
      <c r="Z66" s="147">
        <v>0.9822712330395684</v>
      </c>
      <c r="AA66" s="109">
        <v>10</v>
      </c>
      <c r="AB66" s="147">
        <v>0.45294117647058824</v>
      </c>
      <c r="AC66" s="147">
        <v>-0.11823431123048067</v>
      </c>
      <c r="AD66" s="109"/>
      <c r="AE66" s="109"/>
      <c r="AF66" s="109"/>
      <c r="AG66" s="109"/>
      <c r="AH66" s="109"/>
      <c r="AI66" s="111"/>
      <c r="AJ66" s="109"/>
      <c r="AK66" s="109"/>
      <c r="AM66" s="110"/>
    </row>
    <row r="67" spans="1:39" ht="15.75">
      <c r="A67" s="110">
        <v>0.8312296938670634</v>
      </c>
      <c r="B67" s="105">
        <f t="shared" si="20"/>
        <v>16</v>
      </c>
      <c r="C67" s="110">
        <f t="shared" si="18"/>
        <v>0.573394495412844</v>
      </c>
      <c r="D67" s="110">
        <f t="shared" si="19"/>
        <v>0.18502305465517566</v>
      </c>
      <c r="E67" s="110"/>
      <c r="F67" s="138" t="s">
        <v>290</v>
      </c>
      <c r="G67" s="138">
        <v>12.1</v>
      </c>
      <c r="P67" s="115"/>
      <c r="W67" s="146">
        <v>12</v>
      </c>
      <c r="X67" s="111">
        <v>1.0791812460476249</v>
      </c>
      <c r="Y67" s="109"/>
      <c r="Z67" s="147">
        <v>0.9822712330395684</v>
      </c>
      <c r="AA67" s="109">
        <v>11</v>
      </c>
      <c r="AB67" s="147">
        <v>0.5</v>
      </c>
      <c r="AC67" s="147">
        <v>0</v>
      </c>
      <c r="AD67" s="109"/>
      <c r="AE67" s="109"/>
      <c r="AF67" s="109"/>
      <c r="AG67" s="109"/>
      <c r="AH67" s="109"/>
      <c r="AI67" s="111"/>
      <c r="AJ67" s="109"/>
      <c r="AK67" s="109"/>
      <c r="AM67" s="110"/>
    </row>
    <row r="68" spans="1:39" ht="15.75">
      <c r="A68" s="110">
        <v>0.8369567370595504</v>
      </c>
      <c r="B68" s="105">
        <f t="shared" si="20"/>
        <v>17</v>
      </c>
      <c r="C68" s="110">
        <f t="shared" si="18"/>
        <v>0.6100917431192661</v>
      </c>
      <c r="D68" s="110">
        <f t="shared" si="19"/>
        <v>0.27955820769420825</v>
      </c>
      <c r="E68" s="110"/>
      <c r="F68" s="138" t="s">
        <v>290</v>
      </c>
      <c r="G68" s="138">
        <v>14.2</v>
      </c>
      <c r="H68" s="105">
        <f>AVERAGE(G67:G68)</f>
        <v>13.149999999999999</v>
      </c>
      <c r="I68" s="110">
        <f>LOG(H68)</f>
        <v>1.1189257528257766</v>
      </c>
      <c r="O68" s="105" t="s">
        <v>224</v>
      </c>
      <c r="P68" s="115"/>
      <c r="W68" s="146">
        <v>10.2</v>
      </c>
      <c r="X68" s="111">
        <v>1.0086001717619175</v>
      </c>
      <c r="Y68" s="109"/>
      <c r="Z68" s="147">
        <v>1</v>
      </c>
      <c r="AA68" s="109">
        <v>12</v>
      </c>
      <c r="AB68" s="147">
        <v>0.5470588235294118</v>
      </c>
      <c r="AC68" s="147">
        <v>0.11823431123048067</v>
      </c>
      <c r="AD68" s="109"/>
      <c r="AE68" s="109"/>
      <c r="AF68" s="109"/>
      <c r="AG68" s="109"/>
      <c r="AH68" s="109"/>
      <c r="AI68" s="111"/>
      <c r="AJ68" s="109"/>
      <c r="AK68" s="109"/>
      <c r="AM68" s="110"/>
    </row>
    <row r="69" spans="1:39" ht="15.75">
      <c r="A69" s="110">
        <v>0.8394780473741984</v>
      </c>
      <c r="B69" s="105">
        <f t="shared" si="20"/>
        <v>18</v>
      </c>
      <c r="C69" s="110">
        <f t="shared" si="18"/>
        <v>0.6467889908256881</v>
      </c>
      <c r="D69" s="110">
        <f t="shared" si="19"/>
        <v>0.376666093870881</v>
      </c>
      <c r="E69" s="110"/>
      <c r="F69" s="139" t="s">
        <v>291</v>
      </c>
      <c r="G69" s="139">
        <v>11</v>
      </c>
      <c r="O69" s="114">
        <v>21.54</v>
      </c>
      <c r="P69" s="115">
        <f>LOG(O69)</f>
        <v>1.3332456989619628</v>
      </c>
      <c r="R69" s="115">
        <v>1.035829825252828</v>
      </c>
      <c r="S69" s="105">
        <v>1</v>
      </c>
      <c r="T69" s="110">
        <f>(S69-(3/8))/12.25</f>
        <v>0.05102040816326531</v>
      </c>
      <c r="U69" s="110">
        <f aca="true" t="shared" si="21" ref="U69:U80">NORMSINV(T69)</f>
        <v>-1.6350395526387729</v>
      </c>
      <c r="W69" s="146">
        <v>12</v>
      </c>
      <c r="X69" s="111">
        <v>1.0791812460476249</v>
      </c>
      <c r="Y69" s="109"/>
      <c r="Z69" s="147">
        <v>1.0086001717619175</v>
      </c>
      <c r="AA69" s="109">
        <v>13</v>
      </c>
      <c r="AB69" s="147">
        <v>0.5941176470588235</v>
      </c>
      <c r="AC69" s="147">
        <v>0.23815005079086404</v>
      </c>
      <c r="AD69" s="109"/>
      <c r="AE69" s="109"/>
      <c r="AF69" s="109"/>
      <c r="AG69" s="109"/>
      <c r="AH69" s="109"/>
      <c r="AI69" s="111"/>
      <c r="AJ69" s="109"/>
      <c r="AK69" s="109"/>
      <c r="AM69" s="110"/>
    </row>
    <row r="70" spans="1:39" ht="15.75">
      <c r="A70" s="110">
        <v>0.8394780473741984</v>
      </c>
      <c r="B70" s="105">
        <f t="shared" si="20"/>
        <v>19</v>
      </c>
      <c r="C70" s="110">
        <f t="shared" si="18"/>
        <v>0.6834862385321101</v>
      </c>
      <c r="D70" s="110">
        <f t="shared" si="19"/>
        <v>0.4774699391418835</v>
      </c>
      <c r="E70" s="110"/>
      <c r="F70" s="139" t="s">
        <v>291</v>
      </c>
      <c r="G70" s="139">
        <v>12.7</v>
      </c>
      <c r="H70" s="105">
        <f>AVERAGE(G69:G70)</f>
        <v>11.85</v>
      </c>
      <c r="I70" s="110">
        <f>LOG(H70)</f>
        <v>1.0737183503461227</v>
      </c>
      <c r="O70" s="114">
        <v>13.8</v>
      </c>
      <c r="P70" s="115">
        <f>LOG(O70)</f>
        <v>1.1398790864012365</v>
      </c>
      <c r="R70" s="115">
        <v>1.130333768495006</v>
      </c>
      <c r="S70" s="105">
        <f>1+S69</f>
        <v>2</v>
      </c>
      <c r="T70" s="110">
        <f aca="true" t="shared" si="22" ref="T70:T80">(S70-(3/8))/12.25</f>
        <v>0.1326530612244898</v>
      </c>
      <c r="U70" s="110">
        <f t="shared" si="21"/>
        <v>-1.1139377420477103</v>
      </c>
      <c r="W70" s="146">
        <v>12</v>
      </c>
      <c r="X70" s="111">
        <v>1.0791812460476249</v>
      </c>
      <c r="Y70" s="109" t="s">
        <v>139</v>
      </c>
      <c r="Z70" s="147">
        <v>1.0170333392987803</v>
      </c>
      <c r="AA70" s="109">
        <v>14</v>
      </c>
      <c r="AB70" s="147">
        <v>0.6411764705882353</v>
      </c>
      <c r="AC70" s="147">
        <v>0.36160599847789854</v>
      </c>
      <c r="AD70" s="109"/>
      <c r="AE70" s="109"/>
      <c r="AF70" s="109"/>
      <c r="AG70" s="109"/>
      <c r="AH70" s="109"/>
      <c r="AI70" s="111"/>
      <c r="AJ70" s="109"/>
      <c r="AK70" s="109"/>
      <c r="AM70" s="110"/>
    </row>
    <row r="71" spans="1:39" ht="15.75">
      <c r="A71" s="110">
        <v>0.8555191556678001</v>
      </c>
      <c r="B71" s="105">
        <f t="shared" si="20"/>
        <v>20</v>
      </c>
      <c r="C71" s="110">
        <f t="shared" si="18"/>
        <v>0.7201834862385321</v>
      </c>
      <c r="D71" s="110">
        <f t="shared" si="19"/>
        <v>0.5833862815052271</v>
      </c>
      <c r="E71" s="110"/>
      <c r="F71" s="140" t="s">
        <v>292</v>
      </c>
      <c r="G71" s="140">
        <v>7.2</v>
      </c>
      <c r="H71" s="105">
        <v>7.2</v>
      </c>
      <c r="I71" s="110">
        <f>LOG(H71)</f>
        <v>0.8573324964312684</v>
      </c>
      <c r="O71" s="114">
        <v>21</v>
      </c>
      <c r="P71" s="115">
        <f>LOG(O71)</f>
        <v>1.3222192947339193</v>
      </c>
      <c r="R71" s="115">
        <v>1.1398790864012365</v>
      </c>
      <c r="S71" s="105">
        <f aca="true" t="shared" si="23" ref="S71:S80">1+S70</f>
        <v>3</v>
      </c>
      <c r="T71" s="110">
        <f t="shared" si="22"/>
        <v>0.21428571428571427</v>
      </c>
      <c r="U71" s="110">
        <f t="shared" si="21"/>
        <v>-0.7916378308436833</v>
      </c>
      <c r="W71" s="146">
        <v>4</v>
      </c>
      <c r="X71" s="111">
        <v>0.6020599913279624</v>
      </c>
      <c r="Y71" s="146">
        <f>MEDIAN(W57:W77)</f>
        <v>9.6</v>
      </c>
      <c r="Z71" s="147">
        <v>1.0334237554869496</v>
      </c>
      <c r="AA71" s="109">
        <v>15</v>
      </c>
      <c r="AB71" s="147">
        <v>0.6882352941176471</v>
      </c>
      <c r="AC71" s="147">
        <v>0.49085429054684937</v>
      </c>
      <c r="AD71" s="109"/>
      <c r="AE71" s="109"/>
      <c r="AF71" s="109"/>
      <c r="AG71" s="109"/>
      <c r="AH71" s="109"/>
      <c r="AI71" s="111"/>
      <c r="AJ71" s="109"/>
      <c r="AK71" s="109"/>
      <c r="AM71" s="110"/>
    </row>
    <row r="72" spans="1:39" ht="15.75">
      <c r="A72" s="110">
        <v>0.8698182079793282</v>
      </c>
      <c r="B72" s="105">
        <f t="shared" si="20"/>
        <v>21</v>
      </c>
      <c r="C72" s="110">
        <f t="shared" si="18"/>
        <v>0.7568807339449541</v>
      </c>
      <c r="D72" s="110">
        <f t="shared" si="19"/>
        <v>0.696304596203845</v>
      </c>
      <c r="E72" s="110"/>
      <c r="F72" s="141" t="s">
        <v>293</v>
      </c>
      <c r="G72" s="141">
        <v>12.6</v>
      </c>
      <c r="O72" s="114">
        <v>17.4</v>
      </c>
      <c r="P72" s="115">
        <f>LOG(O72)</f>
        <v>1.2405492482825997</v>
      </c>
      <c r="R72" s="115">
        <v>1.165541076722373</v>
      </c>
      <c r="S72" s="105">
        <f t="shared" si="23"/>
        <v>4</v>
      </c>
      <c r="T72" s="110">
        <f t="shared" si="22"/>
        <v>0.29591836734693877</v>
      </c>
      <c r="U72" s="110">
        <f t="shared" si="21"/>
        <v>-0.5361766852729488</v>
      </c>
      <c r="W72" s="146">
        <v>11</v>
      </c>
      <c r="X72" s="111">
        <v>1.0413926851582251</v>
      </c>
      <c r="Y72" s="148" t="s">
        <v>598</v>
      </c>
      <c r="Z72" s="147">
        <v>1.0413926851582251</v>
      </c>
      <c r="AA72" s="109">
        <v>16</v>
      </c>
      <c r="AB72" s="147">
        <v>0.7352941176470589</v>
      </c>
      <c r="AC72" s="147">
        <v>0.6289042175922077</v>
      </c>
      <c r="AD72" s="109"/>
      <c r="AE72" s="109"/>
      <c r="AF72" s="109"/>
      <c r="AG72" s="109"/>
      <c r="AH72" s="109"/>
      <c r="AI72" s="111"/>
      <c r="AJ72" s="109"/>
      <c r="AK72" s="109"/>
      <c r="AM72" s="110"/>
    </row>
    <row r="73" spans="1:39" ht="15.75">
      <c r="A73" s="110">
        <v>0.8830933585756898</v>
      </c>
      <c r="B73" s="105">
        <f t="shared" si="20"/>
        <v>22</v>
      </c>
      <c r="C73" s="110">
        <f t="shared" si="18"/>
        <v>0.7935779816513762</v>
      </c>
      <c r="D73" s="110">
        <f t="shared" si="19"/>
        <v>0.8188987976609496</v>
      </c>
      <c r="E73" s="110"/>
      <c r="F73" s="141" t="s">
        <v>293</v>
      </c>
      <c r="G73" s="141">
        <v>10.6</v>
      </c>
      <c r="O73" s="114">
        <v>13.5</v>
      </c>
      <c r="P73" s="115">
        <f aca="true" t="shared" si="24" ref="P73:P80">LOG(O73)</f>
        <v>1.130333768495006</v>
      </c>
      <c r="Q73" s="105" t="s">
        <v>144</v>
      </c>
      <c r="R73" s="115">
        <v>1.2268575702887234</v>
      </c>
      <c r="S73" s="105">
        <f t="shared" si="23"/>
        <v>5</v>
      </c>
      <c r="T73" s="110">
        <f t="shared" si="22"/>
        <v>0.37755102040816324</v>
      </c>
      <c r="U73" s="110">
        <f t="shared" si="21"/>
        <v>-0.31191916605166625</v>
      </c>
      <c r="W73" s="146">
        <v>9</v>
      </c>
      <c r="X73" s="111">
        <v>0.954242509439325</v>
      </c>
      <c r="Y73" s="146">
        <f>AVERAGE(W57:W77)</f>
        <v>9.707142857142857</v>
      </c>
      <c r="Z73" s="147">
        <v>1.0413926851582251</v>
      </c>
      <c r="AA73" s="109">
        <v>17</v>
      </c>
      <c r="AB73" s="147">
        <v>0.7823529411764706</v>
      </c>
      <c r="AC73" s="147">
        <v>0.7801645551808178</v>
      </c>
      <c r="AD73" s="109"/>
      <c r="AE73" s="109"/>
      <c r="AF73" s="109"/>
      <c r="AG73" s="109"/>
      <c r="AH73" s="109"/>
      <c r="AI73" s="111"/>
      <c r="AJ73" s="109"/>
      <c r="AK73" s="109"/>
      <c r="AM73" s="110"/>
    </row>
    <row r="74" spans="1:39" ht="15.75">
      <c r="A74" s="110">
        <v>0.8898617212581883</v>
      </c>
      <c r="B74" s="105">
        <f t="shared" si="20"/>
        <v>23</v>
      </c>
      <c r="C74" s="110">
        <f t="shared" si="18"/>
        <v>0.8302752293577982</v>
      </c>
      <c r="D74" s="110">
        <f t="shared" si="19"/>
        <v>0.9552536539558787</v>
      </c>
      <c r="E74" s="110"/>
      <c r="F74" s="141" t="s">
        <v>293</v>
      </c>
      <c r="G74" s="141">
        <v>11.2</v>
      </c>
      <c r="O74" s="114">
        <v>16.86</v>
      </c>
      <c r="P74" s="115">
        <f t="shared" si="24"/>
        <v>1.2268575702887234</v>
      </c>
      <c r="Q74" s="110">
        <f>AVERAGE(P69:P80)</f>
        <v>1.245483443743275</v>
      </c>
      <c r="R74" s="115">
        <v>1.2405492482825997</v>
      </c>
      <c r="S74" s="105">
        <f t="shared" si="23"/>
        <v>6</v>
      </c>
      <c r="T74" s="110">
        <f t="shared" si="22"/>
        <v>0.45918367346938777</v>
      </c>
      <c r="U74" s="110">
        <f t="shared" si="21"/>
        <v>-0.10249095794279128</v>
      </c>
      <c r="W74" s="146">
        <v>8</v>
      </c>
      <c r="X74" s="111">
        <v>0.9030899869919435</v>
      </c>
      <c r="Y74" s="148" t="s">
        <v>59</v>
      </c>
      <c r="Z74" s="147">
        <v>1.0791812460476249</v>
      </c>
      <c r="AA74" s="109">
        <v>18</v>
      </c>
      <c r="AB74" s="147">
        <v>0.8294117647058824</v>
      </c>
      <c r="AC74" s="147">
        <v>0.9518430488242302</v>
      </c>
      <c r="AD74" s="109"/>
      <c r="AE74" s="109"/>
      <c r="AF74" s="109"/>
      <c r="AG74" s="109"/>
      <c r="AH74" s="109"/>
      <c r="AI74" s="111"/>
      <c r="AJ74" s="109"/>
      <c r="AK74" s="109"/>
      <c r="AM74" s="110"/>
    </row>
    <row r="75" spans="1:39" ht="15.75">
      <c r="A75" s="110">
        <v>0.9132839017604184</v>
      </c>
      <c r="B75" s="105">
        <f t="shared" si="20"/>
        <v>24</v>
      </c>
      <c r="C75" s="110">
        <f t="shared" si="18"/>
        <v>0.8669724770642202</v>
      </c>
      <c r="D75" s="110">
        <f t="shared" si="19"/>
        <v>1.1121937859570608</v>
      </c>
      <c r="E75" s="110"/>
      <c r="F75" s="141" t="s">
        <v>293</v>
      </c>
      <c r="G75" s="141">
        <v>13.8</v>
      </c>
      <c r="H75" s="105">
        <f>AVERAGE(G72:G75)</f>
        <v>12.05</v>
      </c>
      <c r="I75" s="110">
        <f>LOG(H75)</f>
        <v>1.080987046910887</v>
      </c>
      <c r="O75" s="114">
        <v>19.62</v>
      </c>
      <c r="P75" s="115">
        <f t="shared" si="24"/>
        <v>1.2926990030439296</v>
      </c>
      <c r="Q75" s="105" t="s">
        <v>598</v>
      </c>
      <c r="R75" s="115">
        <v>1.2926990030439296</v>
      </c>
      <c r="S75" s="105">
        <f t="shared" si="23"/>
        <v>7</v>
      </c>
      <c r="T75" s="110">
        <f t="shared" si="22"/>
        <v>0.5408163265306123</v>
      </c>
      <c r="U75" s="110">
        <f t="shared" si="21"/>
        <v>0.10249095794279128</v>
      </c>
      <c r="W75" s="146">
        <v>10.4</v>
      </c>
      <c r="X75" s="111">
        <v>1.0170333392987803</v>
      </c>
      <c r="Y75" s="147">
        <v>0.10433834115118726</v>
      </c>
      <c r="Z75" s="147">
        <v>1.0791812460476249</v>
      </c>
      <c r="AA75" s="109">
        <v>19</v>
      </c>
      <c r="AB75" s="147">
        <v>0.8764705882352941</v>
      </c>
      <c r="AC75" s="147">
        <v>1.1575230018934235</v>
      </c>
      <c r="AD75" s="109"/>
      <c r="AE75" s="109"/>
      <c r="AF75" s="109"/>
      <c r="AG75" s="109"/>
      <c r="AH75" s="109"/>
      <c r="AI75" s="111"/>
      <c r="AJ75" s="109"/>
      <c r="AK75" s="111"/>
      <c r="AM75" s="110"/>
    </row>
    <row r="76" spans="1:39" ht="15.75">
      <c r="A76" s="110">
        <v>0.919078092376074</v>
      </c>
      <c r="B76" s="105">
        <f t="shared" si="20"/>
        <v>25</v>
      </c>
      <c r="C76" s="110">
        <f t="shared" si="18"/>
        <v>0.9036697247706422</v>
      </c>
      <c r="D76" s="110">
        <f t="shared" si="19"/>
        <v>1.3027488421357702</v>
      </c>
      <c r="E76" s="110"/>
      <c r="F76" s="142" t="s">
        <v>294</v>
      </c>
      <c r="G76" s="142">
        <v>15.9</v>
      </c>
      <c r="O76" s="114">
        <v>14.64</v>
      </c>
      <c r="P76" s="115">
        <f t="shared" si="24"/>
        <v>1.165541076722373</v>
      </c>
      <c r="Q76" s="114">
        <f>AVERAGE(O69:O80)</f>
        <v>18.11</v>
      </c>
      <c r="R76" s="115">
        <v>1.3044905277734875</v>
      </c>
      <c r="S76" s="105">
        <f t="shared" si="23"/>
        <v>8</v>
      </c>
      <c r="T76" s="110">
        <f t="shared" si="22"/>
        <v>0.6224489795918368</v>
      </c>
      <c r="U76" s="110">
        <f t="shared" si="21"/>
        <v>0.31191916605166625</v>
      </c>
      <c r="W76" s="146">
        <v>9.6</v>
      </c>
      <c r="X76" s="111">
        <v>0.9822712330395684</v>
      </c>
      <c r="Y76" s="148" t="s">
        <v>126</v>
      </c>
      <c r="Z76" s="147">
        <v>1.0791812460476249</v>
      </c>
      <c r="AA76" s="109">
        <v>20</v>
      </c>
      <c r="AB76" s="147">
        <v>0.9235294117647059</v>
      </c>
      <c r="AC76" s="147">
        <v>1.4292209016275592</v>
      </c>
      <c r="AD76" s="109"/>
      <c r="AE76" s="109"/>
      <c r="AF76" s="109"/>
      <c r="AG76" s="109"/>
      <c r="AH76" s="109"/>
      <c r="AI76" s="111"/>
      <c r="AJ76" s="109"/>
      <c r="AK76" s="109"/>
      <c r="AM76" s="110"/>
    </row>
    <row r="77" spans="1:39" ht="15.75">
      <c r="A77" s="110">
        <v>0.9647309210536293</v>
      </c>
      <c r="B77" s="105">
        <f t="shared" si="20"/>
        <v>26</v>
      </c>
      <c r="C77" s="110">
        <f t="shared" si="18"/>
        <v>0.9403669724770642</v>
      </c>
      <c r="D77" s="110">
        <f t="shared" si="19"/>
        <v>1.5578598322463222</v>
      </c>
      <c r="E77" s="110"/>
      <c r="F77" s="142" t="s">
        <v>294</v>
      </c>
      <c r="G77" s="142">
        <v>17.1</v>
      </c>
      <c r="H77" s="105">
        <f>AVERAGE(G76:G77)</f>
        <v>16.5</v>
      </c>
      <c r="I77" s="110">
        <f>LOG(H77)</f>
        <v>1.2174839442139063</v>
      </c>
      <c r="O77" s="114">
        <v>20.16</v>
      </c>
      <c r="P77" s="115">
        <f t="shared" si="24"/>
        <v>1.3044905277734875</v>
      </c>
      <c r="Q77" s="118" t="s">
        <v>59</v>
      </c>
      <c r="R77" s="115">
        <v>1.3222192947339193</v>
      </c>
      <c r="S77" s="105">
        <f t="shared" si="23"/>
        <v>9</v>
      </c>
      <c r="T77" s="110">
        <f t="shared" si="22"/>
        <v>0.7040816326530612</v>
      </c>
      <c r="U77" s="110">
        <f t="shared" si="21"/>
        <v>0.5361766852729488</v>
      </c>
      <c r="W77" s="146">
        <v>8.4</v>
      </c>
      <c r="X77" s="111">
        <v>0.9242792860618816</v>
      </c>
      <c r="Y77" s="147">
        <v>1.2715643434472637</v>
      </c>
      <c r="Z77" s="147">
        <v>1.0791812460476249</v>
      </c>
      <c r="AA77" s="109">
        <v>21</v>
      </c>
      <c r="AB77" s="147">
        <v>0.9705882352941176</v>
      </c>
      <c r="AC77" s="147">
        <v>1.8895116227213293</v>
      </c>
      <c r="AD77" s="109"/>
      <c r="AE77" s="109"/>
      <c r="AF77" s="109"/>
      <c r="AG77" s="109"/>
      <c r="AH77" s="109"/>
      <c r="AI77" s="111"/>
      <c r="AJ77" s="109"/>
      <c r="AK77" s="111"/>
      <c r="AM77" s="110"/>
    </row>
    <row r="78" spans="1:39" ht="15.75">
      <c r="A78" s="110">
        <v>1</v>
      </c>
      <c r="B78" s="105">
        <f t="shared" si="20"/>
        <v>27</v>
      </c>
      <c r="C78" s="110">
        <f t="shared" si="18"/>
        <v>0.9770642201834863</v>
      </c>
      <c r="D78" s="110">
        <f t="shared" si="19"/>
        <v>1.9965773390140384</v>
      </c>
      <c r="E78" s="110"/>
      <c r="F78" s="142" t="s">
        <v>573</v>
      </c>
      <c r="G78" s="142">
        <v>13.9</v>
      </c>
      <c r="O78" s="114">
        <v>10.86</v>
      </c>
      <c r="P78" s="115">
        <f t="shared" si="24"/>
        <v>1.035829825252828</v>
      </c>
      <c r="Q78" s="115">
        <f>STDEV(P69:P80)</f>
        <v>0.11019511103096538</v>
      </c>
      <c r="R78" s="115">
        <v>1.3296012483565187</v>
      </c>
      <c r="S78" s="105">
        <f t="shared" si="23"/>
        <v>10</v>
      </c>
      <c r="T78" s="110">
        <f t="shared" si="22"/>
        <v>0.7857142857142857</v>
      </c>
      <c r="U78" s="110">
        <f t="shared" si="21"/>
        <v>0.7916378308436833</v>
      </c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11"/>
      <c r="AJ78" s="109"/>
      <c r="AK78" s="109"/>
      <c r="AL78" s="126"/>
      <c r="AM78" s="110"/>
    </row>
    <row r="79" spans="2:39" ht="15.75">
      <c r="B79" s="105"/>
      <c r="C79" s="105"/>
      <c r="F79" s="143" t="s">
        <v>574</v>
      </c>
      <c r="G79" s="143">
        <v>14.6</v>
      </c>
      <c r="O79" s="114">
        <v>21.36</v>
      </c>
      <c r="P79" s="115">
        <f t="shared" si="24"/>
        <v>1.3296012483565187</v>
      </c>
      <c r="Q79" s="118" t="s">
        <v>126</v>
      </c>
      <c r="R79" s="115">
        <v>1.3332456989619628</v>
      </c>
      <c r="S79" s="105">
        <f t="shared" si="23"/>
        <v>11</v>
      </c>
      <c r="T79" s="110">
        <f t="shared" si="22"/>
        <v>0.8673469387755102</v>
      </c>
      <c r="U79" s="110">
        <f t="shared" si="21"/>
        <v>1.1139377420477103</v>
      </c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11"/>
      <c r="AJ79" s="109"/>
      <c r="AK79" s="111"/>
      <c r="AL79" s="127"/>
      <c r="AM79" s="110"/>
    </row>
    <row r="80" spans="1:39" ht="15.75">
      <c r="A80" s="105" t="s">
        <v>402</v>
      </c>
      <c r="B80" s="105"/>
      <c r="C80" s="105"/>
      <c r="F80" s="143" t="s">
        <v>574</v>
      </c>
      <c r="G80" s="143">
        <v>12.9</v>
      </c>
      <c r="H80" s="105">
        <f>AVERAGE(G79:G80)</f>
        <v>13.75</v>
      </c>
      <c r="I80" s="110">
        <f>LOG(H80)</f>
        <v>1.1383026981662814</v>
      </c>
      <c r="O80" s="114">
        <v>26.58</v>
      </c>
      <c r="P80" s="115">
        <f t="shared" si="24"/>
        <v>1.4245549766067132</v>
      </c>
      <c r="Q80" s="115">
        <f>POWER(10,Q78)</f>
        <v>1.2888284403924024</v>
      </c>
      <c r="R80" s="115">
        <v>1.4245549766067132</v>
      </c>
      <c r="S80" s="105">
        <f t="shared" si="23"/>
        <v>12</v>
      </c>
      <c r="T80" s="110">
        <f t="shared" si="22"/>
        <v>0.9489795918367347</v>
      </c>
      <c r="U80" s="110">
        <f t="shared" si="21"/>
        <v>1.6350395526387729</v>
      </c>
      <c r="W80" s="109" t="s">
        <v>224</v>
      </c>
      <c r="X80" s="109" t="s">
        <v>403</v>
      </c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11"/>
      <c r="AJ80" s="109"/>
      <c r="AK80" s="109"/>
      <c r="AM80" s="110"/>
    </row>
    <row r="81" spans="1:39" ht="15.75">
      <c r="A81" s="110">
        <v>0.9395192526186184</v>
      </c>
      <c r="B81" s="105">
        <v>1</v>
      </c>
      <c r="C81" s="110">
        <f>(B81-(3/8))/12.25</f>
        <v>0.05102040816326531</v>
      </c>
      <c r="D81" s="110">
        <f aca="true" t="shared" si="25" ref="D81:D92">NORMSINV(C81)</f>
        <v>-1.6350395526387729</v>
      </c>
      <c r="E81" s="110"/>
      <c r="F81" s="144" t="s">
        <v>575</v>
      </c>
      <c r="G81" s="144">
        <v>20.4</v>
      </c>
      <c r="O81" s="114"/>
      <c r="W81" s="146">
        <v>13.5</v>
      </c>
      <c r="X81" s="111">
        <v>1.130333768495006</v>
      </c>
      <c r="Y81" s="109"/>
      <c r="Z81" s="147">
        <v>0.7481880270062004</v>
      </c>
      <c r="AA81" s="109">
        <v>1</v>
      </c>
      <c r="AB81" s="147">
        <v>0.029411764705882353</v>
      </c>
      <c r="AC81" s="147">
        <v>-1.8895116227213293</v>
      </c>
      <c r="AD81" s="109"/>
      <c r="AE81" s="109"/>
      <c r="AF81" s="109"/>
      <c r="AG81" s="109"/>
      <c r="AH81" s="109"/>
      <c r="AI81" s="111"/>
      <c r="AJ81" s="109"/>
      <c r="AK81" s="111"/>
      <c r="AL81" s="129"/>
      <c r="AM81" s="110"/>
    </row>
    <row r="82" spans="1:37" ht="15.75">
      <c r="A82" s="110">
        <v>0.8068580295188175</v>
      </c>
      <c r="B82" s="105">
        <f>1+B81</f>
        <v>2</v>
      </c>
      <c r="C82" s="110">
        <f aca="true" t="shared" si="26" ref="C82:C92">(B82-(3/8))/12.25</f>
        <v>0.1326530612244898</v>
      </c>
      <c r="D82" s="110">
        <f t="shared" si="25"/>
        <v>-1.1139377420477103</v>
      </c>
      <c r="E82" s="110"/>
      <c r="F82" s="144" t="s">
        <v>575</v>
      </c>
      <c r="G82" s="144">
        <v>25.1</v>
      </c>
      <c r="H82" s="105">
        <f>AVERAGE(G81:G82)</f>
        <v>22.75</v>
      </c>
      <c r="I82" s="110">
        <f>LOG(H82)</f>
        <v>1.3569814009931311</v>
      </c>
      <c r="O82" s="125"/>
      <c r="W82" s="146">
        <v>12</v>
      </c>
      <c r="X82" s="111">
        <v>1.0791812460476249</v>
      </c>
      <c r="Y82" s="109"/>
      <c r="Z82" s="147">
        <v>0.7481880270062004</v>
      </c>
      <c r="AA82" s="109">
        <v>2</v>
      </c>
      <c r="AB82" s="147">
        <v>0.07647058823529412</v>
      </c>
      <c r="AC82" s="147">
        <v>-1.4292209016275592</v>
      </c>
      <c r="AD82" s="109"/>
      <c r="AE82" s="109"/>
      <c r="AF82" s="109"/>
      <c r="AG82" s="109"/>
      <c r="AH82" s="109"/>
      <c r="AI82" s="109"/>
      <c r="AJ82" s="109"/>
      <c r="AK82" s="109"/>
    </row>
    <row r="83" spans="1:37" ht="15.75">
      <c r="A83" s="110">
        <v>0.8680563618230416</v>
      </c>
      <c r="B83" s="105">
        <f aca="true" t="shared" si="27" ref="B83:B92">1+B82</f>
        <v>3</v>
      </c>
      <c r="C83" s="110">
        <f t="shared" si="26"/>
        <v>0.21428571428571427</v>
      </c>
      <c r="D83" s="110">
        <f t="shared" si="25"/>
        <v>-0.7916378308436833</v>
      </c>
      <c r="E83" s="110"/>
      <c r="F83" s="113" t="s">
        <v>576</v>
      </c>
      <c r="G83" s="113">
        <v>15.6</v>
      </c>
      <c r="O83" s="114"/>
      <c r="W83" s="146">
        <v>13.6</v>
      </c>
      <c r="X83" s="111">
        <v>1.1335389083702176</v>
      </c>
      <c r="Y83" s="109"/>
      <c r="Z83" s="147">
        <v>0.8573324964312684</v>
      </c>
      <c r="AA83" s="109">
        <v>3</v>
      </c>
      <c r="AB83" s="147">
        <v>0.12352941176470589</v>
      </c>
      <c r="AC83" s="147">
        <v>-1.1575230018934235</v>
      </c>
      <c r="AD83" s="109"/>
      <c r="AE83" s="109"/>
      <c r="AF83" s="109"/>
      <c r="AG83" s="109"/>
      <c r="AH83" s="109"/>
      <c r="AI83" s="109"/>
      <c r="AJ83" s="109"/>
      <c r="AK83" s="109"/>
    </row>
    <row r="84" spans="1:37" ht="15.75">
      <c r="A84" s="110">
        <v>0.791690649020118</v>
      </c>
      <c r="B84" s="105">
        <f t="shared" si="27"/>
        <v>4</v>
      </c>
      <c r="C84" s="110">
        <f t="shared" si="26"/>
        <v>0.29591836734693877</v>
      </c>
      <c r="D84" s="110">
        <f t="shared" si="25"/>
        <v>-0.5361766852729488</v>
      </c>
      <c r="E84" s="110"/>
      <c r="F84" s="113" t="s">
        <v>576</v>
      </c>
      <c r="G84" s="113">
        <v>19.6</v>
      </c>
      <c r="O84" s="114"/>
      <c r="W84" s="146">
        <v>8</v>
      </c>
      <c r="X84" s="111">
        <v>0.9030899869919435</v>
      </c>
      <c r="Y84" s="109"/>
      <c r="Z84" s="147">
        <v>0.9030899869919435</v>
      </c>
      <c r="AA84" s="109">
        <v>4</v>
      </c>
      <c r="AB84" s="147">
        <v>0.17058823529411765</v>
      </c>
      <c r="AC84" s="147">
        <v>-0.9518430488242302</v>
      </c>
      <c r="AD84" s="109"/>
      <c r="AE84" s="109"/>
      <c r="AF84" s="109"/>
      <c r="AG84" s="109"/>
      <c r="AH84" s="109"/>
      <c r="AI84" s="109"/>
      <c r="AJ84" s="109"/>
      <c r="AK84" s="109"/>
    </row>
    <row r="85" spans="1:37" ht="15.75">
      <c r="A85" s="110">
        <v>0.8175653695597808</v>
      </c>
      <c r="B85" s="105">
        <f t="shared" si="27"/>
        <v>5</v>
      </c>
      <c r="C85" s="110">
        <f t="shared" si="26"/>
        <v>0.37755102040816324</v>
      </c>
      <c r="D85" s="110">
        <f t="shared" si="25"/>
        <v>-0.31191916605166625</v>
      </c>
      <c r="E85" s="110"/>
      <c r="F85" s="113" t="s">
        <v>576</v>
      </c>
      <c r="G85" s="113">
        <v>16.8</v>
      </c>
      <c r="O85" s="114"/>
      <c r="W85" s="146">
        <v>8</v>
      </c>
      <c r="X85" s="111">
        <v>0.9030899869919435</v>
      </c>
      <c r="Y85" s="109"/>
      <c r="Z85" s="147">
        <v>0.9030899869919435</v>
      </c>
      <c r="AA85" s="109">
        <v>5</v>
      </c>
      <c r="AB85" s="147">
        <v>0.21764705882352942</v>
      </c>
      <c r="AC85" s="147">
        <v>-0.7801645551808178</v>
      </c>
      <c r="AD85" s="109"/>
      <c r="AE85" s="109"/>
      <c r="AF85" s="109"/>
      <c r="AG85" s="109"/>
      <c r="AH85" s="109"/>
      <c r="AI85" s="109"/>
      <c r="AJ85" s="109"/>
      <c r="AK85" s="109"/>
    </row>
    <row r="86" spans="1:39" ht="15.75">
      <c r="A86" s="110">
        <v>0.7315887651867387</v>
      </c>
      <c r="B86" s="105">
        <f t="shared" si="27"/>
        <v>6</v>
      </c>
      <c r="C86" s="110">
        <f t="shared" si="26"/>
        <v>0.45918367346938777</v>
      </c>
      <c r="D86" s="110">
        <f t="shared" si="25"/>
        <v>-0.10249095794279128</v>
      </c>
      <c r="E86" s="110"/>
      <c r="F86" s="113" t="s">
        <v>576</v>
      </c>
      <c r="G86" s="113">
        <v>15.9</v>
      </c>
      <c r="W86" s="146">
        <v>13</v>
      </c>
      <c r="X86" s="111">
        <v>1.1139433523068367</v>
      </c>
      <c r="Y86" s="109"/>
      <c r="Z86" s="147">
        <v>0.9294189257142927</v>
      </c>
      <c r="AA86" s="109">
        <v>6</v>
      </c>
      <c r="AB86" s="147">
        <v>0.2647058823529412</v>
      </c>
      <c r="AC86" s="147">
        <v>-0.6289042175922077</v>
      </c>
      <c r="AD86" s="109"/>
      <c r="AE86" s="109"/>
      <c r="AF86" s="109"/>
      <c r="AG86" s="109"/>
      <c r="AH86" s="109"/>
      <c r="AI86" s="111"/>
      <c r="AJ86" s="109"/>
      <c r="AK86" s="109"/>
      <c r="AM86" s="110"/>
    </row>
    <row r="87" spans="1:39" ht="15.75">
      <c r="A87" s="110">
        <v>0.9858753573083937</v>
      </c>
      <c r="B87" s="105">
        <f t="shared" si="27"/>
        <v>7</v>
      </c>
      <c r="C87" s="110">
        <f t="shared" si="26"/>
        <v>0.5408163265306123</v>
      </c>
      <c r="D87" s="110">
        <f t="shared" si="25"/>
        <v>0.10249095794279128</v>
      </c>
      <c r="E87" s="110"/>
      <c r="F87" s="113" t="s">
        <v>576</v>
      </c>
      <c r="G87" s="113">
        <v>16.2</v>
      </c>
      <c r="H87" s="105">
        <f>AVERAGE(G83:G87)</f>
        <v>16.82</v>
      </c>
      <c r="I87" s="110">
        <f>LOG(H87)</f>
        <v>1.2258259914618932</v>
      </c>
      <c r="W87" s="146">
        <v>12</v>
      </c>
      <c r="X87" s="111">
        <v>1.0791812460476249</v>
      </c>
      <c r="Y87" s="109"/>
      <c r="Z87" s="147">
        <v>0.9822712330395684</v>
      </c>
      <c r="AA87" s="109">
        <v>7</v>
      </c>
      <c r="AB87" s="147">
        <v>0.31176470588235294</v>
      </c>
      <c r="AC87" s="147">
        <v>-0.49085429054684937</v>
      </c>
      <c r="AD87" s="109"/>
      <c r="AE87" s="109"/>
      <c r="AF87" s="109"/>
      <c r="AG87" s="109"/>
      <c r="AH87" s="109"/>
      <c r="AI87" s="111"/>
      <c r="AJ87" s="109"/>
      <c r="AK87" s="109"/>
      <c r="AM87" s="110"/>
    </row>
    <row r="88" spans="1:39" ht="15.75">
      <c r="A88" s="110">
        <v>0.8331471119127851</v>
      </c>
      <c r="B88" s="105">
        <f t="shared" si="27"/>
        <v>8</v>
      </c>
      <c r="C88" s="110">
        <f t="shared" si="26"/>
        <v>0.6224489795918368</v>
      </c>
      <c r="D88" s="110">
        <f t="shared" si="25"/>
        <v>0.31191916605166625</v>
      </c>
      <c r="E88" s="110"/>
      <c r="F88" s="117" t="s">
        <v>355</v>
      </c>
      <c r="G88" s="117">
        <v>21.7</v>
      </c>
      <c r="W88" s="146">
        <v>9.6</v>
      </c>
      <c r="X88" s="111">
        <v>0.9822712330395684</v>
      </c>
      <c r="Y88" s="109"/>
      <c r="Z88" s="147">
        <v>1.0334237554869496</v>
      </c>
      <c r="AA88" s="109">
        <v>8</v>
      </c>
      <c r="AB88" s="147">
        <v>0.3588235294117647</v>
      </c>
      <c r="AC88" s="147">
        <v>-0.36160599847789854</v>
      </c>
      <c r="AD88" s="109"/>
      <c r="AE88" s="109"/>
      <c r="AF88" s="109"/>
      <c r="AG88" s="109"/>
      <c r="AH88" s="109"/>
      <c r="AI88" s="111"/>
      <c r="AJ88" s="109"/>
      <c r="AK88" s="109"/>
      <c r="AM88" s="110"/>
    </row>
    <row r="89" spans="1:39" ht="15.75">
      <c r="A89" s="110">
        <v>0.8438554226231612</v>
      </c>
      <c r="B89" s="105">
        <f t="shared" si="27"/>
        <v>9</v>
      </c>
      <c r="C89" s="110">
        <f t="shared" si="26"/>
        <v>0.7040816326530612</v>
      </c>
      <c r="D89" s="110">
        <f t="shared" si="25"/>
        <v>0.5361766852729488</v>
      </c>
      <c r="E89" s="110"/>
      <c r="F89" s="117" t="s">
        <v>355</v>
      </c>
      <c r="G89" s="117">
        <v>20.3</v>
      </c>
      <c r="H89" s="105">
        <f>AVERAGE(G88:G89)</f>
        <v>21</v>
      </c>
      <c r="I89" s="110">
        <f>LOG(H89)</f>
        <v>1.3222192947339193</v>
      </c>
      <c r="W89" s="146">
        <v>11.2</v>
      </c>
      <c r="X89" s="111">
        <v>1.0492180226701815</v>
      </c>
      <c r="Y89" s="109"/>
      <c r="Z89" s="147">
        <v>1.0413926851582251</v>
      </c>
      <c r="AA89" s="109">
        <v>9</v>
      </c>
      <c r="AB89" s="147">
        <v>0.40588235294117647</v>
      </c>
      <c r="AC89" s="147">
        <v>-0.23815005079086404</v>
      </c>
      <c r="AD89" s="109"/>
      <c r="AE89" s="109"/>
      <c r="AF89" s="109"/>
      <c r="AG89" s="109"/>
      <c r="AH89" s="109"/>
      <c r="AI89" s="111"/>
      <c r="AJ89" s="109"/>
      <c r="AK89" s="109"/>
      <c r="AM89" s="110"/>
    </row>
    <row r="90" spans="1:39" ht="15.75">
      <c r="A90" s="110">
        <v>0.8195439355418686</v>
      </c>
      <c r="B90" s="105">
        <f t="shared" si="27"/>
        <v>10</v>
      </c>
      <c r="C90" s="110">
        <f t="shared" si="26"/>
        <v>0.7857142857142857</v>
      </c>
      <c r="D90" s="110">
        <f t="shared" si="25"/>
        <v>0.7916378308436833</v>
      </c>
      <c r="E90" s="110"/>
      <c r="F90" s="119" t="s">
        <v>549</v>
      </c>
      <c r="G90" s="119">
        <v>18.8</v>
      </c>
      <c r="W90" s="146">
        <v>11</v>
      </c>
      <c r="X90" s="111">
        <v>1.0413926851582251</v>
      </c>
      <c r="Y90" s="109"/>
      <c r="Z90" s="147">
        <v>1.0413926851582251</v>
      </c>
      <c r="AA90" s="109">
        <v>10</v>
      </c>
      <c r="AB90" s="147">
        <v>0.45294117647058824</v>
      </c>
      <c r="AC90" s="147">
        <v>-0.11823431123048067</v>
      </c>
      <c r="AD90" s="109"/>
      <c r="AE90" s="109"/>
      <c r="AF90" s="109"/>
      <c r="AG90" s="109"/>
      <c r="AH90" s="109"/>
      <c r="AI90" s="111"/>
      <c r="AJ90" s="109"/>
      <c r="AK90" s="109"/>
      <c r="AM90" s="110"/>
    </row>
    <row r="91" spans="1:39" ht="15.75">
      <c r="A91" s="110">
        <v>0.926342446625655</v>
      </c>
      <c r="B91" s="105">
        <f t="shared" si="27"/>
        <v>11</v>
      </c>
      <c r="C91" s="110">
        <f t="shared" si="26"/>
        <v>0.8673469387755102</v>
      </c>
      <c r="D91" s="110">
        <f t="shared" si="25"/>
        <v>1.1139377420477103</v>
      </c>
      <c r="E91" s="110"/>
      <c r="F91" s="119" t="s">
        <v>549</v>
      </c>
      <c r="G91" s="119">
        <v>14.1</v>
      </c>
      <c r="H91" s="105">
        <f>AVERAGE(G90:G91)</f>
        <v>16.45</v>
      </c>
      <c r="I91" s="110">
        <f>LOG(H91)</f>
        <v>1.2161659022859932</v>
      </c>
      <c r="W91" s="146">
        <v>11</v>
      </c>
      <c r="X91" s="111">
        <v>1.0413926851582251</v>
      </c>
      <c r="Y91" s="109"/>
      <c r="Z91" s="147">
        <v>1.0492180226701815</v>
      </c>
      <c r="AA91" s="109">
        <v>11</v>
      </c>
      <c r="AB91" s="147">
        <v>0.5</v>
      </c>
      <c r="AC91" s="147">
        <v>0</v>
      </c>
      <c r="AD91" s="109"/>
      <c r="AE91" s="109"/>
      <c r="AF91" s="109"/>
      <c r="AG91" s="109"/>
      <c r="AH91" s="109"/>
      <c r="AI91" s="111"/>
      <c r="AJ91" s="109"/>
      <c r="AK91" s="109"/>
      <c r="AM91" s="110"/>
    </row>
    <row r="92" spans="1:39" ht="15.75">
      <c r="A92" s="110">
        <v>0.9242792860618816</v>
      </c>
      <c r="B92" s="105">
        <f t="shared" si="27"/>
        <v>12</v>
      </c>
      <c r="C92" s="110">
        <f t="shared" si="26"/>
        <v>0.9489795918367347</v>
      </c>
      <c r="D92" s="110">
        <f t="shared" si="25"/>
        <v>1.6350395526387729</v>
      </c>
      <c r="E92" s="110"/>
      <c r="F92" s="121" t="s">
        <v>548</v>
      </c>
      <c r="G92" s="121">
        <v>15</v>
      </c>
      <c r="H92" s="105">
        <f aca="true" t="shared" si="28" ref="H92:H98">G92</f>
        <v>15</v>
      </c>
      <c r="I92" s="110">
        <f aca="true" t="shared" si="29" ref="I92:I100">LOG(H92)</f>
        <v>1.1760912590556811</v>
      </c>
      <c r="W92" s="146">
        <v>8.5</v>
      </c>
      <c r="X92" s="111">
        <v>0.9294189257142927</v>
      </c>
      <c r="Y92" s="109"/>
      <c r="Z92" s="147">
        <v>1.0492180226701815</v>
      </c>
      <c r="AA92" s="109">
        <v>12</v>
      </c>
      <c r="AB92" s="147">
        <v>0.5470588235294118</v>
      </c>
      <c r="AC92" s="147">
        <v>0.11823431123048067</v>
      </c>
      <c r="AD92" s="109"/>
      <c r="AE92" s="109"/>
      <c r="AF92" s="109"/>
      <c r="AG92" s="109"/>
      <c r="AH92" s="109"/>
      <c r="AI92" s="111"/>
      <c r="AJ92" s="109"/>
      <c r="AK92" s="109"/>
      <c r="AM92" s="110"/>
    </row>
    <row r="93" spans="2:39" ht="15.75">
      <c r="B93" s="105"/>
      <c r="C93" s="105"/>
      <c r="F93" s="124" t="s">
        <v>578</v>
      </c>
      <c r="G93" s="124">
        <v>17.5</v>
      </c>
      <c r="H93" s="105">
        <f t="shared" si="28"/>
        <v>17.5</v>
      </c>
      <c r="I93" s="110">
        <f t="shared" si="29"/>
        <v>1.2430380486862944</v>
      </c>
      <c r="W93" s="146">
        <v>10.8</v>
      </c>
      <c r="X93" s="111">
        <v>1.0334237554869496</v>
      </c>
      <c r="Y93" s="109"/>
      <c r="Z93" s="147">
        <v>1.0791812460476249</v>
      </c>
      <c r="AA93" s="109">
        <v>13</v>
      </c>
      <c r="AB93" s="147">
        <v>0.5941176470588235</v>
      </c>
      <c r="AC93" s="147">
        <v>0.23815005079086404</v>
      </c>
      <c r="AD93" s="109"/>
      <c r="AE93" s="109"/>
      <c r="AF93" s="109"/>
      <c r="AG93" s="109"/>
      <c r="AH93" s="109"/>
      <c r="AI93" s="111"/>
      <c r="AJ93" s="109"/>
      <c r="AK93" s="109"/>
      <c r="AM93" s="110"/>
    </row>
    <row r="94" spans="2:39" ht="15.75">
      <c r="B94" s="105"/>
      <c r="C94" s="105"/>
      <c r="F94" s="125" t="s">
        <v>579</v>
      </c>
      <c r="G94" s="125">
        <v>13.5</v>
      </c>
      <c r="H94" s="105">
        <f t="shared" si="28"/>
        <v>13.5</v>
      </c>
      <c r="I94" s="110">
        <f t="shared" si="29"/>
        <v>1.130333768495006</v>
      </c>
      <c r="W94" s="146">
        <v>13</v>
      </c>
      <c r="X94" s="111">
        <v>1.1139433523068367</v>
      </c>
      <c r="Y94" s="109" t="s">
        <v>139</v>
      </c>
      <c r="Z94" s="147">
        <v>1.0791812460476249</v>
      </c>
      <c r="AA94" s="109">
        <v>14</v>
      </c>
      <c r="AB94" s="147">
        <v>0.6411764705882353</v>
      </c>
      <c r="AC94" s="147">
        <v>0.36160599847789854</v>
      </c>
      <c r="AD94" s="109"/>
      <c r="AE94" s="109"/>
      <c r="AF94" s="109"/>
      <c r="AG94" s="109"/>
      <c r="AH94" s="109"/>
      <c r="AI94" s="111"/>
      <c r="AJ94" s="109"/>
      <c r="AK94" s="109"/>
      <c r="AM94" s="110"/>
    </row>
    <row r="95" spans="2:39" ht="15.75">
      <c r="B95" s="105"/>
      <c r="C95" s="105"/>
      <c r="F95" s="130" t="s">
        <v>580</v>
      </c>
      <c r="G95" s="130">
        <v>14</v>
      </c>
      <c r="H95" s="105">
        <f t="shared" si="28"/>
        <v>14</v>
      </c>
      <c r="I95" s="110">
        <f t="shared" si="29"/>
        <v>1.146128035678238</v>
      </c>
      <c r="J95" s="105" t="s">
        <v>142</v>
      </c>
      <c r="W95" s="146">
        <v>5.6</v>
      </c>
      <c r="X95" s="111">
        <v>0.7481880270062004</v>
      </c>
      <c r="Y95" s="146">
        <f>MEDIAN(W81:W101)</f>
        <v>11.2</v>
      </c>
      <c r="Z95" s="147">
        <v>1.0791812460476249</v>
      </c>
      <c r="AA95" s="109">
        <v>15</v>
      </c>
      <c r="AB95" s="147">
        <v>0.6882352941176471</v>
      </c>
      <c r="AC95" s="147">
        <v>0.49085429054684937</v>
      </c>
      <c r="AD95" s="109"/>
      <c r="AE95" s="109"/>
      <c r="AF95" s="109"/>
      <c r="AG95" s="109"/>
      <c r="AH95" s="109"/>
      <c r="AI95" s="111"/>
      <c r="AJ95" s="109"/>
      <c r="AK95" s="109"/>
      <c r="AM95" s="110"/>
    </row>
    <row r="96" spans="2:39" ht="15.75">
      <c r="B96" s="105"/>
      <c r="C96" s="105"/>
      <c r="F96" s="133" t="s">
        <v>581</v>
      </c>
      <c r="G96" s="133">
        <v>13.5</v>
      </c>
      <c r="H96" s="105">
        <f t="shared" si="28"/>
        <v>13.5</v>
      </c>
      <c r="I96" s="110">
        <f t="shared" si="29"/>
        <v>1.130333768495006</v>
      </c>
      <c r="J96" s="110">
        <f>AVERAGE(I8:I100)</f>
        <v>1.1910887757740642</v>
      </c>
      <c r="W96" s="146">
        <v>13.2</v>
      </c>
      <c r="X96" s="111">
        <v>1.1205739312058498</v>
      </c>
      <c r="Y96" s="148" t="s">
        <v>598</v>
      </c>
      <c r="Z96" s="147">
        <v>1.0791812460476249</v>
      </c>
      <c r="AA96" s="109">
        <v>16</v>
      </c>
      <c r="AB96" s="147">
        <v>0.7352941176470589</v>
      </c>
      <c r="AC96" s="147">
        <v>0.6289042175922077</v>
      </c>
      <c r="AD96" s="109"/>
      <c r="AE96" s="109"/>
      <c r="AF96" s="109"/>
      <c r="AG96" s="109"/>
      <c r="AH96" s="109"/>
      <c r="AI96" s="111"/>
      <c r="AJ96" s="109"/>
      <c r="AK96" s="109"/>
      <c r="AM96" s="110"/>
    </row>
    <row r="97" spans="2:39" ht="15.75">
      <c r="B97" s="105"/>
      <c r="C97" s="105"/>
      <c r="F97" s="134" t="s">
        <v>582</v>
      </c>
      <c r="G97" s="134">
        <v>19.8</v>
      </c>
      <c r="H97" s="105">
        <f t="shared" si="28"/>
        <v>19.8</v>
      </c>
      <c r="I97" s="110">
        <f t="shared" si="29"/>
        <v>1.2966651902615312</v>
      </c>
      <c r="J97" s="118" t="s">
        <v>341</v>
      </c>
      <c r="W97" s="146">
        <v>7.2</v>
      </c>
      <c r="X97" s="111">
        <v>0.8573324964312684</v>
      </c>
      <c r="Y97" s="146">
        <f>AVERAGE(W81:W101)</f>
        <v>10.57142857142857</v>
      </c>
      <c r="Z97" s="147">
        <v>1.1139433523068367</v>
      </c>
      <c r="AA97" s="109">
        <v>17</v>
      </c>
      <c r="AB97" s="147">
        <v>0.7823529411764706</v>
      </c>
      <c r="AC97" s="147">
        <v>0.7801645551808178</v>
      </c>
      <c r="AD97" s="109"/>
      <c r="AE97" s="109"/>
      <c r="AF97" s="109"/>
      <c r="AG97" s="109"/>
      <c r="AH97" s="109"/>
      <c r="AI97" s="111"/>
      <c r="AJ97" s="109"/>
      <c r="AK97" s="109"/>
      <c r="AM97" s="110"/>
    </row>
    <row r="98" spans="2:39" ht="15.75">
      <c r="B98" s="105"/>
      <c r="C98" s="105"/>
      <c r="F98" s="141" t="s">
        <v>583</v>
      </c>
      <c r="G98" s="141">
        <v>11.7</v>
      </c>
      <c r="H98" s="105">
        <f t="shared" si="28"/>
        <v>11.7</v>
      </c>
      <c r="I98" s="110">
        <f t="shared" si="29"/>
        <v>1.0681858617461617</v>
      </c>
      <c r="J98" s="115">
        <f>STDEV(I9:I100)</f>
        <v>0.1074925144828875</v>
      </c>
      <c r="W98" s="146">
        <v>11.2</v>
      </c>
      <c r="X98" s="111">
        <v>1.0492180226701815</v>
      </c>
      <c r="Y98" s="148" t="s">
        <v>59</v>
      </c>
      <c r="Z98" s="147">
        <v>1.1139433523068367</v>
      </c>
      <c r="AA98" s="109">
        <v>18</v>
      </c>
      <c r="AB98" s="147">
        <v>0.8294117647058824</v>
      </c>
      <c r="AC98" s="147">
        <v>0.9518430488242302</v>
      </c>
      <c r="AD98" s="109"/>
      <c r="AE98" s="109"/>
      <c r="AF98" s="109"/>
      <c r="AG98" s="109"/>
      <c r="AH98" s="109"/>
      <c r="AI98" s="111"/>
      <c r="AJ98" s="109"/>
      <c r="AK98" s="109"/>
      <c r="AM98" s="110"/>
    </row>
    <row r="99" spans="2:39" ht="15.75">
      <c r="B99" s="105"/>
      <c r="C99" s="105"/>
      <c r="F99" s="116" t="s">
        <v>577</v>
      </c>
      <c r="G99" s="116">
        <v>16.3</v>
      </c>
      <c r="H99" s="105">
        <f>G99</f>
        <v>16.3</v>
      </c>
      <c r="I99" s="110">
        <f t="shared" si="29"/>
        <v>1.212187604403958</v>
      </c>
      <c r="J99" s="118" t="s">
        <v>126</v>
      </c>
      <c r="W99" s="146">
        <v>12</v>
      </c>
      <c r="X99" s="111">
        <v>1.0791812460476249</v>
      </c>
      <c r="Y99" s="147">
        <v>0.1180753625250345</v>
      </c>
      <c r="Z99" s="147">
        <v>1.1205739312058498</v>
      </c>
      <c r="AA99" s="109">
        <v>19</v>
      </c>
      <c r="AB99" s="147">
        <v>0.8764705882352941</v>
      </c>
      <c r="AC99" s="147">
        <v>1.1575230018934235</v>
      </c>
      <c r="AD99" s="109"/>
      <c r="AE99" s="109"/>
      <c r="AF99" s="109"/>
      <c r="AG99" s="109"/>
      <c r="AH99" s="109"/>
      <c r="AI99" s="111"/>
      <c r="AJ99" s="109"/>
      <c r="AK99" s="109"/>
      <c r="AM99" s="110"/>
    </row>
    <row r="100" spans="2:39" ht="15.75">
      <c r="B100" s="105"/>
      <c r="C100" s="105"/>
      <c r="F100" s="116" t="s">
        <v>577</v>
      </c>
      <c r="G100" s="116">
        <v>16</v>
      </c>
      <c r="H100" s="105">
        <f>AVERAGE(G99:G100)</f>
        <v>16.15</v>
      </c>
      <c r="I100" s="110">
        <f t="shared" si="29"/>
        <v>1.2081725266671217</v>
      </c>
      <c r="J100" s="115">
        <f>POWER(10,J98)</f>
        <v>1.2808330178567435</v>
      </c>
      <c r="W100" s="146">
        <v>12</v>
      </c>
      <c r="X100" s="111">
        <v>1.0791812460476249</v>
      </c>
      <c r="Y100" s="148" t="s">
        <v>126</v>
      </c>
      <c r="Z100" s="147">
        <v>1.130333768495006</v>
      </c>
      <c r="AA100" s="109">
        <v>20</v>
      </c>
      <c r="AB100" s="147">
        <v>0.9235294117647059</v>
      </c>
      <c r="AC100" s="147">
        <v>1.4292209016275592</v>
      </c>
      <c r="AD100" s="109"/>
      <c r="AE100" s="109"/>
      <c r="AF100" s="109"/>
      <c r="AG100" s="109"/>
      <c r="AH100" s="109"/>
      <c r="AI100" s="111"/>
      <c r="AJ100" s="109"/>
      <c r="AK100" s="111"/>
      <c r="AM100" s="110"/>
    </row>
    <row r="101" spans="2:39" ht="15.75">
      <c r="B101" s="105"/>
      <c r="C101" s="105"/>
      <c r="H101" s="105" t="s">
        <v>598</v>
      </c>
      <c r="I101" s="110"/>
      <c r="W101" s="146">
        <v>5.6</v>
      </c>
      <c r="X101" s="111">
        <v>0.7481880270062004</v>
      </c>
      <c r="Y101" s="147">
        <v>1.3124276230234009</v>
      </c>
      <c r="Z101" s="147">
        <v>1.1335389083702176</v>
      </c>
      <c r="AA101" s="109">
        <v>21</v>
      </c>
      <c r="AB101" s="147">
        <v>0.9705882352941176</v>
      </c>
      <c r="AC101" s="147">
        <v>1.8895116227213293</v>
      </c>
      <c r="AD101" s="109"/>
      <c r="AE101" s="109"/>
      <c r="AF101" s="109"/>
      <c r="AG101" s="109"/>
      <c r="AH101" s="109"/>
      <c r="AI101" s="111"/>
      <c r="AJ101" s="109"/>
      <c r="AK101" s="109"/>
      <c r="AM101" s="110"/>
    </row>
    <row r="102" spans="2:39" ht="15.75">
      <c r="B102" s="105"/>
      <c r="C102" s="105"/>
      <c r="H102" s="110">
        <f>AVERAGE(H8:H100)</f>
        <v>15.970182072829132</v>
      </c>
      <c r="AI102" s="110"/>
      <c r="AK102" s="110"/>
      <c r="AM102" s="110"/>
    </row>
    <row r="103" spans="2:39" ht="15.75">
      <c r="B103" s="105"/>
      <c r="C103" s="105"/>
      <c r="F103" s="105" t="s">
        <v>60</v>
      </c>
      <c r="AI103" s="110"/>
      <c r="AL103" s="126"/>
      <c r="AM103" s="110"/>
    </row>
    <row r="104" spans="2:39" ht="15.75">
      <c r="B104" s="105"/>
      <c r="C104" s="105"/>
      <c r="F104" s="110">
        <v>0.8573324964312684</v>
      </c>
      <c r="G104" s="105">
        <v>1</v>
      </c>
      <c r="H104" s="115">
        <f>(G104-(3/8))/34.25</f>
        <v>0.01824817518248175</v>
      </c>
      <c r="I104" s="110">
        <f>NORMSINV(H104)</f>
        <v>-2.0913466869387776</v>
      </c>
      <c r="AI104" s="110"/>
      <c r="AK104" s="110"/>
      <c r="AL104" s="127"/>
      <c r="AM104" s="110"/>
    </row>
    <row r="105" spans="2:39" ht="15.75">
      <c r="B105" s="105"/>
      <c r="C105" s="105"/>
      <c r="F105" s="110">
        <v>0.9890046156985368</v>
      </c>
      <c r="G105" s="145">
        <f>1+G104</f>
        <v>2</v>
      </c>
      <c r="H105" s="115">
        <f aca="true" t="shared" si="30" ref="H105:H137">(G105-(3/8))/34.25</f>
        <v>0.04744525547445255</v>
      </c>
      <c r="I105" s="110">
        <f aca="true" t="shared" si="31" ref="I105:I137">NORMSINV(H105)</f>
        <v>-1.670146048127208</v>
      </c>
      <c r="AI105" s="110"/>
      <c r="AM105" s="110"/>
    </row>
    <row r="106" spans="2:39" ht="15.75">
      <c r="B106" s="105"/>
      <c r="C106" s="105"/>
      <c r="F106" s="110">
        <v>1.0681858617461617</v>
      </c>
      <c r="G106" s="145">
        <f aca="true" t="shared" si="32" ref="G106:G137">1+G105</f>
        <v>3</v>
      </c>
      <c r="H106" s="115">
        <f t="shared" si="30"/>
        <v>0.07664233576642336</v>
      </c>
      <c r="I106" s="110">
        <f t="shared" si="31"/>
        <v>-1.4280249160947278</v>
      </c>
      <c r="AI106" s="110"/>
      <c r="AK106" s="111"/>
      <c r="AL106" s="129"/>
      <c r="AM106" s="110"/>
    </row>
    <row r="107" spans="2:9" ht="15.75">
      <c r="B107" s="105"/>
      <c r="C107" s="105"/>
      <c r="F107" s="110">
        <v>1.0737183503461227</v>
      </c>
      <c r="G107" s="145">
        <f t="shared" si="32"/>
        <v>4</v>
      </c>
      <c r="H107" s="115">
        <f t="shared" si="30"/>
        <v>0.10583941605839416</v>
      </c>
      <c r="I107" s="110">
        <f t="shared" si="31"/>
        <v>-1.2489635992096737</v>
      </c>
    </row>
    <row r="108" spans="2:9" ht="15.75">
      <c r="B108" s="105"/>
      <c r="C108" s="105"/>
      <c r="F108" s="110">
        <v>1.080987046910887</v>
      </c>
      <c r="G108" s="145">
        <f t="shared" si="32"/>
        <v>5</v>
      </c>
      <c r="H108" s="115">
        <f t="shared" si="30"/>
        <v>0.13503649635036497</v>
      </c>
      <c r="I108" s="110">
        <f t="shared" si="31"/>
        <v>-1.1028942026314326</v>
      </c>
    </row>
    <row r="109" spans="2:9" ht="15.75">
      <c r="B109" s="105"/>
      <c r="C109" s="105"/>
      <c r="F109" s="110">
        <v>1.095169351431755</v>
      </c>
      <c r="G109" s="145">
        <f t="shared" si="32"/>
        <v>6</v>
      </c>
      <c r="H109" s="115">
        <f t="shared" si="30"/>
        <v>0.16423357664233576</v>
      </c>
      <c r="I109" s="110">
        <f t="shared" si="31"/>
        <v>-0.9772065823199227</v>
      </c>
    </row>
    <row r="110" spans="2:9" ht="15.75">
      <c r="B110" s="105"/>
      <c r="C110" s="105"/>
      <c r="F110" s="110">
        <v>1.1189257528257766</v>
      </c>
      <c r="G110" s="145">
        <f t="shared" si="32"/>
        <v>7</v>
      </c>
      <c r="H110" s="115">
        <f t="shared" si="30"/>
        <v>0.19343065693430658</v>
      </c>
      <c r="I110" s="110">
        <f t="shared" si="31"/>
        <v>-0.8653228178445715</v>
      </c>
    </row>
    <row r="111" spans="2:9" ht="15.75">
      <c r="B111" s="105"/>
      <c r="C111" s="105"/>
      <c r="F111" s="110">
        <v>1.130333768495006</v>
      </c>
      <c r="G111" s="145">
        <f t="shared" si="32"/>
        <v>8</v>
      </c>
      <c r="H111" s="115">
        <f t="shared" si="30"/>
        <v>0.22262773722627738</v>
      </c>
      <c r="I111" s="110">
        <f t="shared" si="31"/>
        <v>-0.7633479981450364</v>
      </c>
    </row>
    <row r="112" spans="2:9" ht="15.75">
      <c r="B112" s="105"/>
      <c r="C112" s="105"/>
      <c r="F112" s="110">
        <v>1.130333768495006</v>
      </c>
      <c r="G112" s="145">
        <f t="shared" si="32"/>
        <v>9</v>
      </c>
      <c r="H112" s="115">
        <f t="shared" si="30"/>
        <v>0.2518248175182482</v>
      </c>
      <c r="I112" s="110">
        <f t="shared" si="31"/>
        <v>-0.6687582754238974</v>
      </c>
    </row>
    <row r="113" spans="2:9" ht="15.75">
      <c r="B113" s="105"/>
      <c r="C113" s="105"/>
      <c r="F113" s="110">
        <v>1.1383026981662814</v>
      </c>
      <c r="G113" s="145">
        <f t="shared" si="32"/>
        <v>10</v>
      </c>
      <c r="H113" s="115">
        <f t="shared" si="30"/>
        <v>0.28102189781021897</v>
      </c>
      <c r="I113" s="110">
        <f t="shared" si="31"/>
        <v>-0.5798085567221278</v>
      </c>
    </row>
    <row r="114" spans="2:9" ht="15.75">
      <c r="B114" s="105"/>
      <c r="C114" s="105"/>
      <c r="F114" s="110">
        <v>1.146128035678238</v>
      </c>
      <c r="G114" s="145">
        <f t="shared" si="32"/>
        <v>11</v>
      </c>
      <c r="H114" s="115">
        <f t="shared" si="30"/>
        <v>0.3102189781021898</v>
      </c>
      <c r="I114" s="110">
        <f t="shared" si="31"/>
        <v>-0.49522896006237715</v>
      </c>
    </row>
    <row r="115" spans="2:9" ht="15.75">
      <c r="B115" s="105"/>
      <c r="C115" s="105"/>
      <c r="F115" s="110">
        <v>1.1697723694480828</v>
      </c>
      <c r="G115" s="145">
        <f t="shared" si="32"/>
        <v>12</v>
      </c>
      <c r="H115" s="115">
        <f t="shared" si="30"/>
        <v>0.33941605839416056</v>
      </c>
      <c r="I115" s="110">
        <f t="shared" si="31"/>
        <v>-0.4140576947975205</v>
      </c>
    </row>
    <row r="116" spans="2:9" ht="15.75">
      <c r="B116" s="105"/>
      <c r="C116" s="105"/>
      <c r="F116" s="110">
        <v>1.172456974400587</v>
      </c>
      <c r="G116" s="145">
        <f t="shared" si="32"/>
        <v>13</v>
      </c>
      <c r="H116" s="115">
        <f t="shared" si="30"/>
        <v>0.3686131386861314</v>
      </c>
      <c r="I116" s="110">
        <f t="shared" si="31"/>
        <v>-0.33552851164131425</v>
      </c>
    </row>
    <row r="117" spans="2:9" ht="15.75">
      <c r="B117" s="105"/>
      <c r="C117" s="105"/>
      <c r="F117" s="110">
        <v>1.1760912590556811</v>
      </c>
      <c r="G117" s="145">
        <f t="shared" si="32"/>
        <v>14</v>
      </c>
      <c r="H117" s="115">
        <f t="shared" si="30"/>
        <v>0.3978102189781022</v>
      </c>
      <c r="I117" s="110">
        <f t="shared" si="31"/>
        <v>-0.2590195435914211</v>
      </c>
    </row>
    <row r="118" spans="2:9" ht="15.75">
      <c r="B118" s="105"/>
      <c r="C118" s="105"/>
      <c r="F118" s="110">
        <v>1.177536499929862</v>
      </c>
      <c r="G118" s="145">
        <f t="shared" si="32"/>
        <v>15</v>
      </c>
      <c r="H118" s="115">
        <f t="shared" si="30"/>
        <v>0.42700729927007297</v>
      </c>
      <c r="I118" s="110">
        <f t="shared" si="31"/>
        <v>-0.1839987362473039</v>
      </c>
    </row>
    <row r="119" spans="2:9" ht="15.75">
      <c r="B119" s="105"/>
      <c r="C119" s="105"/>
      <c r="F119" s="110">
        <v>1.1917303933628562</v>
      </c>
      <c r="G119" s="145">
        <f t="shared" si="32"/>
        <v>16</v>
      </c>
      <c r="H119" s="115">
        <f t="shared" si="30"/>
        <v>0.4562043795620438</v>
      </c>
      <c r="I119" s="110">
        <f t="shared" si="31"/>
        <v>-0.11000111044268124</v>
      </c>
    </row>
    <row r="120" spans="2:9" ht="15.75">
      <c r="B120" s="105"/>
      <c r="C120" s="105"/>
      <c r="F120" s="110">
        <v>1.1997551772534745</v>
      </c>
      <c r="G120" s="145">
        <f t="shared" si="32"/>
        <v>17</v>
      </c>
      <c r="H120" s="115">
        <f t="shared" si="30"/>
        <v>0.4854014598540146</v>
      </c>
      <c r="I120" s="110">
        <f t="shared" si="31"/>
        <v>-0.03660147740447428</v>
      </c>
    </row>
    <row r="121" spans="2:9" ht="15.75">
      <c r="B121" s="105"/>
      <c r="C121" s="105"/>
      <c r="F121" s="110">
        <v>1.2027606873932</v>
      </c>
      <c r="G121" s="145">
        <f t="shared" si="32"/>
        <v>18</v>
      </c>
      <c r="H121" s="115">
        <f t="shared" si="30"/>
        <v>0.5145985401459854</v>
      </c>
      <c r="I121" s="110">
        <f t="shared" si="31"/>
        <v>0.03660147740447428</v>
      </c>
    </row>
    <row r="122" spans="2:9" ht="15.75">
      <c r="B122" s="105"/>
      <c r="C122" s="105"/>
      <c r="F122" s="110">
        <v>1.2081725266671217</v>
      </c>
      <c r="G122" s="145">
        <f t="shared" si="32"/>
        <v>19</v>
      </c>
      <c r="H122" s="115">
        <f t="shared" si="30"/>
        <v>0.5437956204379562</v>
      </c>
      <c r="I122" s="110">
        <f t="shared" si="31"/>
        <v>0.11000111044268124</v>
      </c>
    </row>
    <row r="123" spans="2:9" ht="15.75">
      <c r="B123" s="105"/>
      <c r="C123" s="105"/>
      <c r="F123" s="110">
        <v>1.212187604403958</v>
      </c>
      <c r="G123" s="145">
        <f t="shared" si="32"/>
        <v>20</v>
      </c>
      <c r="H123" s="115">
        <f t="shared" si="30"/>
        <v>0.572992700729927</v>
      </c>
      <c r="I123" s="110">
        <f t="shared" si="31"/>
        <v>0.1839987362473039</v>
      </c>
    </row>
    <row r="124" spans="2:9" ht="15.75">
      <c r="B124" s="105"/>
      <c r="C124" s="105"/>
      <c r="F124" s="110">
        <v>1.2161659022859932</v>
      </c>
      <c r="G124" s="145">
        <f t="shared" si="32"/>
        <v>21</v>
      </c>
      <c r="H124" s="115">
        <f t="shared" si="30"/>
        <v>0.6021897810218978</v>
      </c>
      <c r="I124" s="110">
        <f t="shared" si="31"/>
        <v>0.2590195435914211</v>
      </c>
    </row>
    <row r="125" spans="2:9" ht="15.75">
      <c r="B125" s="105"/>
      <c r="C125" s="105"/>
      <c r="F125" s="110">
        <v>1.2161659022859932</v>
      </c>
      <c r="G125" s="145">
        <f t="shared" si="32"/>
        <v>22</v>
      </c>
      <c r="H125" s="115">
        <f t="shared" si="30"/>
        <v>0.6313868613138686</v>
      </c>
      <c r="I125" s="110">
        <f t="shared" si="31"/>
        <v>0.33552851164131425</v>
      </c>
    </row>
    <row r="126" spans="2:9" ht="15.75">
      <c r="B126" s="105"/>
      <c r="C126" s="105"/>
      <c r="F126" s="110">
        <v>1.2174839442139063</v>
      </c>
      <c r="G126" s="145">
        <f t="shared" si="32"/>
        <v>23</v>
      </c>
      <c r="H126" s="115">
        <f t="shared" si="30"/>
        <v>0.6605839416058394</v>
      </c>
      <c r="I126" s="110">
        <f t="shared" si="31"/>
        <v>0.4140576947975205</v>
      </c>
    </row>
    <row r="127" spans="2:9" ht="15.75">
      <c r="B127" s="105"/>
      <c r="C127" s="105"/>
      <c r="F127" s="110">
        <v>1.2258259914618932</v>
      </c>
      <c r="G127" s="145">
        <f t="shared" si="32"/>
        <v>24</v>
      </c>
      <c r="H127" s="115">
        <f t="shared" si="30"/>
        <v>0.6897810218978102</v>
      </c>
      <c r="I127" s="110">
        <f t="shared" si="31"/>
        <v>0.49522896006237715</v>
      </c>
    </row>
    <row r="128" spans="2:9" ht="15.75">
      <c r="B128" s="105"/>
      <c r="C128" s="105"/>
      <c r="F128" s="110">
        <v>1.2430380486862944</v>
      </c>
      <c r="G128" s="145">
        <f t="shared" si="32"/>
        <v>25</v>
      </c>
      <c r="H128" s="115">
        <f t="shared" si="30"/>
        <v>0.718978102189781</v>
      </c>
      <c r="I128" s="110">
        <f t="shared" si="31"/>
        <v>0.5798085567221278</v>
      </c>
    </row>
    <row r="129" spans="2:9" ht="15.75">
      <c r="B129" s="105"/>
      <c r="C129" s="105"/>
      <c r="F129" s="110">
        <v>1.252853030979893</v>
      </c>
      <c r="G129" s="145">
        <f t="shared" si="32"/>
        <v>26</v>
      </c>
      <c r="H129" s="115">
        <f t="shared" si="30"/>
        <v>0.7481751824817519</v>
      </c>
      <c r="I129" s="110">
        <f t="shared" si="31"/>
        <v>0.6687582754238974</v>
      </c>
    </row>
    <row r="130" spans="2:9" ht="15.75">
      <c r="B130" s="105"/>
      <c r="C130" s="105"/>
      <c r="F130" s="110">
        <v>1.2681766524500937</v>
      </c>
      <c r="G130" s="145">
        <f t="shared" si="32"/>
        <v>27</v>
      </c>
      <c r="H130" s="115">
        <f t="shared" si="30"/>
        <v>0.7773722627737226</v>
      </c>
      <c r="I130" s="110">
        <f t="shared" si="31"/>
        <v>0.7633479981450364</v>
      </c>
    </row>
    <row r="131" spans="2:9" ht="15.75">
      <c r="B131" s="105"/>
      <c r="C131" s="105"/>
      <c r="F131" s="110">
        <v>1.2810333672477277</v>
      </c>
      <c r="G131" s="145">
        <f t="shared" si="32"/>
        <v>28</v>
      </c>
      <c r="H131" s="115">
        <f t="shared" si="30"/>
        <v>0.8065693430656934</v>
      </c>
      <c r="I131" s="110">
        <f t="shared" si="31"/>
        <v>0.8653228178445715</v>
      </c>
    </row>
    <row r="132" spans="2:9" ht="15.75">
      <c r="B132" s="105"/>
      <c r="C132" s="105"/>
      <c r="F132" s="110">
        <v>1.2966651902615312</v>
      </c>
      <c r="G132" s="145">
        <f t="shared" si="32"/>
        <v>29</v>
      </c>
      <c r="H132" s="115">
        <f t="shared" si="30"/>
        <v>0.8357664233576643</v>
      </c>
      <c r="I132" s="110">
        <f t="shared" si="31"/>
        <v>0.9772065823199227</v>
      </c>
    </row>
    <row r="133" spans="2:9" ht="15.75">
      <c r="B133" s="105"/>
      <c r="C133" s="105"/>
      <c r="F133" s="110">
        <v>1.3222192947339193</v>
      </c>
      <c r="G133" s="145">
        <f t="shared" si="32"/>
        <v>30</v>
      </c>
      <c r="H133" s="115">
        <f t="shared" si="30"/>
        <v>0.864963503649635</v>
      </c>
      <c r="I133" s="110">
        <f t="shared" si="31"/>
        <v>1.1028942026314326</v>
      </c>
    </row>
    <row r="134" spans="2:9" ht="15.75">
      <c r="B134" s="105"/>
      <c r="C134" s="105"/>
      <c r="F134" s="110">
        <v>1.3458636285037642</v>
      </c>
      <c r="G134" s="145">
        <f t="shared" si="32"/>
        <v>31</v>
      </c>
      <c r="H134" s="115">
        <f t="shared" si="30"/>
        <v>0.8941605839416058</v>
      </c>
      <c r="I134" s="110">
        <f t="shared" si="31"/>
        <v>1.2489635992096737</v>
      </c>
    </row>
    <row r="135" spans="2:9" ht="15.75">
      <c r="B135" s="105"/>
      <c r="C135" s="105"/>
      <c r="F135" s="110">
        <v>1.3483048630481607</v>
      </c>
      <c r="G135" s="145">
        <f t="shared" si="32"/>
        <v>32</v>
      </c>
      <c r="H135" s="115">
        <f t="shared" si="30"/>
        <v>0.9233576642335767</v>
      </c>
      <c r="I135" s="110">
        <f t="shared" si="31"/>
        <v>1.4280249160947278</v>
      </c>
    </row>
    <row r="136" spans="2:9" ht="15.75">
      <c r="B136" s="105"/>
      <c r="C136" s="105"/>
      <c r="F136" s="110">
        <v>1.3569814009931311</v>
      </c>
      <c r="G136" s="145">
        <f t="shared" si="32"/>
        <v>33</v>
      </c>
      <c r="H136" s="115">
        <f t="shared" si="30"/>
        <v>0.9525547445255474</v>
      </c>
      <c r="I136" s="110">
        <f t="shared" si="31"/>
        <v>1.670146048127208</v>
      </c>
    </row>
    <row r="137" spans="2:9" ht="15.75">
      <c r="B137" s="105"/>
      <c r="C137" s="105"/>
      <c r="F137" s="110">
        <v>1.3673559210260189</v>
      </c>
      <c r="G137" s="145">
        <f t="shared" si="32"/>
        <v>34</v>
      </c>
      <c r="H137" s="115">
        <f t="shared" si="30"/>
        <v>0.9817518248175182</v>
      </c>
      <c r="I137" s="110">
        <f t="shared" si="31"/>
        <v>2.0913466869387776</v>
      </c>
    </row>
    <row r="138" spans="2:3" ht="15.75">
      <c r="B138" s="105"/>
      <c r="C138" s="105"/>
    </row>
  </sheetData>
  <hyperlinks>
    <hyperlink ref="AU16" r:id="rId1" display="桰瑯は⸱瑨m"/>
    <hyperlink ref="AU18" r:id="rId2" display="桰瑯は⸱瑨m"/>
    <hyperlink ref="AU20" r:id="rId3" display="桰瑯は⸱瑨m"/>
    <hyperlink ref="AU22" r:id="rId4" display="桰瑯は⸱瑨m"/>
    <hyperlink ref="AW16" r:id="rId5" display="桰瑯は⸱瑨m"/>
    <hyperlink ref="AW18" r:id="rId6" display="桰瑯は⸱瑨m"/>
    <hyperlink ref="AW20" r:id="rId7" display="桰瑯は⸱瑨m"/>
    <hyperlink ref="AW22" r:id="rId8" display="桰瑯は⸱瑨m"/>
    <hyperlink ref="AY16" r:id="rId9" display="桰瑯は⸱瑨m"/>
    <hyperlink ref="AY18" r:id="rId10" display="桰瑯は⸱瑨m"/>
    <hyperlink ref="AY20" r:id="rId11" display="桰瑯は⸱瑨m"/>
    <hyperlink ref="AY22" r:id="rId12" display="桰瑯は⸱瑨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K16" sqref="K16"/>
    </sheetView>
  </sheetViews>
  <sheetFormatPr defaultColWidth="11.00390625" defaultRowHeight="12"/>
  <sheetData>
    <row r="1" ht="18.75">
      <c r="A1" s="31" t="s">
        <v>229</v>
      </c>
    </row>
    <row r="2" spans="3:10" ht="12.75">
      <c r="C2" t="s">
        <v>69</v>
      </c>
      <c r="D2" t="s">
        <v>70</v>
      </c>
      <c r="E2" t="s">
        <v>65</v>
      </c>
      <c r="G2" t="s">
        <v>126</v>
      </c>
      <c r="H2" t="s">
        <v>384</v>
      </c>
      <c r="I2" t="s">
        <v>161</v>
      </c>
      <c r="J2" s="1" t="s">
        <v>247</v>
      </c>
    </row>
    <row r="3" spans="1:10" ht="12.75">
      <c r="A3" t="s">
        <v>226</v>
      </c>
      <c r="C3">
        <v>13</v>
      </c>
      <c r="D3">
        <v>0.307</v>
      </c>
      <c r="E3">
        <v>0.153</v>
      </c>
      <c r="G3">
        <f>EXP(SQRT(LN(POWER(E3,2)/POWER(D3,2)+1)))</f>
        <v>1.6015965093067885</v>
      </c>
      <c r="H3" s="6">
        <f>LOG10(G3)</f>
        <v>0.20455311358775854</v>
      </c>
      <c r="I3">
        <f>LOG(D3/SQRT(POWER(E3,2)/POWER(D3,2)+1))</f>
        <v>-0.5610339799428942</v>
      </c>
      <c r="J3">
        <v>0.2298</v>
      </c>
    </row>
    <row r="4" spans="1:10" ht="12.75">
      <c r="A4" t="s">
        <v>227</v>
      </c>
      <c r="C4">
        <v>15</v>
      </c>
      <c r="D4">
        <v>0.201</v>
      </c>
      <c r="E4">
        <v>0.147</v>
      </c>
      <c r="G4">
        <f>EXP(SQRT(LN(POWER(E4,2)/POWER(D4,2)+1)))</f>
        <v>1.924284369116434</v>
      </c>
      <c r="H4" s="6">
        <f>LOG10(G4)</f>
        <v>0.2842692521156628</v>
      </c>
      <c r="I4">
        <f>LOG(D4/SQRT(POWER(E4,2)/POWER(D4,2)+1))</f>
        <v>-0.7898387508324975</v>
      </c>
      <c r="J4">
        <v>0.2946</v>
      </c>
    </row>
    <row r="5" spans="1:10" ht="12.75">
      <c r="A5" t="s">
        <v>68</v>
      </c>
      <c r="C5">
        <v>8</v>
      </c>
      <c r="D5">
        <v>0.16</v>
      </c>
      <c r="E5">
        <v>0.072</v>
      </c>
      <c r="G5">
        <f>EXP(SQRT(LN(POWER(E5,2)/POWER(D5,2)+1)))</f>
        <v>1.536368295386624</v>
      </c>
      <c r="H5" s="6">
        <f>LOG10(G5)</f>
        <v>0.18649533645154157</v>
      </c>
      <c r="I5">
        <f>LOG(D5/SQRT(POWER(E5,2)/POWER(D5,2)+1))</f>
        <v>-0.8359225598670099</v>
      </c>
      <c r="J5">
        <v>0.1891</v>
      </c>
    </row>
    <row r="6" ht="12.75">
      <c r="H6" s="6"/>
    </row>
    <row r="7" spans="3:8" ht="12.75">
      <c r="C7" t="s">
        <v>69</v>
      </c>
      <c r="D7" t="s">
        <v>66</v>
      </c>
      <c r="E7" t="s">
        <v>67</v>
      </c>
      <c r="H7" s="6"/>
    </row>
    <row r="8" spans="1:10" ht="12.75">
      <c r="A8" t="s">
        <v>226</v>
      </c>
      <c r="C8">
        <v>13</v>
      </c>
      <c r="D8">
        <v>0.336</v>
      </c>
      <c r="E8">
        <v>0.169</v>
      </c>
      <c r="G8">
        <f>EXP(SQRT(LN(POWER(E8,2)/POWER(D8,2)+1)))</f>
        <v>1.6078512593352037</v>
      </c>
      <c r="H8" s="6">
        <f>LOG10(G8)</f>
        <v>0.20624587013520848</v>
      </c>
      <c r="I8">
        <f>LOG(D8/SQRT(POWER(E8,2)/POWER(D8,2)+1))</f>
        <v>-0.5226336669144602</v>
      </c>
      <c r="J8">
        <v>0.2375</v>
      </c>
    </row>
    <row r="9" spans="1:10" ht="12.75">
      <c r="A9" t="s">
        <v>227</v>
      </c>
      <c r="C9">
        <v>15</v>
      </c>
      <c r="D9">
        <v>0.394</v>
      </c>
      <c r="E9">
        <v>0.246</v>
      </c>
      <c r="G9">
        <f>EXP(SQRT(LN(POWER(E9,2)/POWER(D9,2)+1)))</f>
        <v>1.774901217554262</v>
      </c>
      <c r="H9" s="6">
        <f>LOG10(G9)</f>
        <v>0.2491741873263844</v>
      </c>
      <c r="I9">
        <f>LOG(D9/SQRT(POWER(E9,2)/POWER(D9,2)+1))</f>
        <v>-0.4759849714855528</v>
      </c>
      <c r="J9">
        <v>0.3054</v>
      </c>
    </row>
    <row r="10" spans="1:10" ht="12.75">
      <c r="A10" t="s">
        <v>68</v>
      </c>
      <c r="C10">
        <v>8</v>
      </c>
      <c r="D10">
        <v>0.228</v>
      </c>
      <c r="E10">
        <v>0.152</v>
      </c>
      <c r="G10">
        <f>EXP(SQRT(LN(POWER(E10,2)/POWER(D10,2)+1)))</f>
        <v>1.833823533668825</v>
      </c>
      <c r="H10" s="6">
        <f>LOG10(G10)</f>
        <v>0.26335754178048276</v>
      </c>
      <c r="I10">
        <f>LOG(D10/SQRT(POWER(E10,2)/POWER(D10,2)+1))</f>
        <v>-0.7219155744333022</v>
      </c>
      <c r="J10">
        <v>0.2782</v>
      </c>
    </row>
    <row r="11" ht="12.75">
      <c r="H11" s="6"/>
    </row>
    <row r="12" spans="3:8" ht="12.75">
      <c r="C12" t="s">
        <v>69</v>
      </c>
      <c r="D12" t="s">
        <v>329</v>
      </c>
      <c r="E12" t="s">
        <v>330</v>
      </c>
      <c r="H12" s="6"/>
    </row>
    <row r="13" spans="1:10" ht="12.75">
      <c r="A13" t="s">
        <v>226</v>
      </c>
      <c r="C13">
        <v>13</v>
      </c>
      <c r="D13">
        <v>0.241</v>
      </c>
      <c r="E13">
        <v>0.153</v>
      </c>
      <c r="G13">
        <f>EXP(SQRT(LN(POWER(E13,2)/POWER(D13,2)+1)))</f>
        <v>1.7894875840979425</v>
      </c>
      <c r="H13" s="6">
        <f>LOG10(G13)</f>
        <v>0.2527286894952562</v>
      </c>
      <c r="I13">
        <f>LOG(D13/SQRT(POWER(E13,2)/POWER(D13,2)+1))</f>
        <v>-0.6915180737522811</v>
      </c>
      <c r="J13">
        <v>0.2695</v>
      </c>
    </row>
    <row r="14" spans="1:15" ht="12.75">
      <c r="A14" t="s">
        <v>227</v>
      </c>
      <c r="C14">
        <v>15</v>
      </c>
      <c r="D14">
        <v>0.303</v>
      </c>
      <c r="E14">
        <v>0.173</v>
      </c>
      <c r="G14">
        <f>EXP(SQRT(LN(POWER(E14,2)/POWER(D14,2)+1)))</f>
        <v>1.700952113504112</v>
      </c>
      <c r="H14" s="6">
        <f>LOG10(G14)</f>
        <v>0.2306920871965412</v>
      </c>
      <c r="I14">
        <f>LOG(D14/SQRT(POWER(E14,2)/POWER(D14,2)+1))</f>
        <v>-0.579827824281104</v>
      </c>
      <c r="J14">
        <v>0.2582</v>
      </c>
      <c r="M14" s="174"/>
      <c r="N14" s="175"/>
      <c r="O14" s="38"/>
    </row>
    <row r="15" spans="1:15" ht="12.75">
      <c r="A15" t="s">
        <v>68</v>
      </c>
      <c r="C15">
        <v>8</v>
      </c>
      <c r="D15">
        <v>0.191</v>
      </c>
      <c r="E15">
        <v>0.123</v>
      </c>
      <c r="G15">
        <f>EXP(SQRT(LN(POWER(E15,2)/POWER(D15,2)+1)))</f>
        <v>1.802189727120593</v>
      </c>
      <c r="H15" s="6">
        <f>LOG10(G15)</f>
        <v>0.25580050978630553</v>
      </c>
      <c r="I15">
        <f>LOG(D15/SQRT(POWER(E15,2)/POWER(D15,2)+1))</f>
        <v>-0.7943001950395208</v>
      </c>
      <c r="J15">
        <v>0.2637</v>
      </c>
      <c r="M15" s="174"/>
      <c r="N15" s="175"/>
      <c r="O15" s="38"/>
    </row>
    <row r="16" spans="13:15" ht="12.75">
      <c r="M16" s="174"/>
      <c r="N16" s="175"/>
      <c r="O16" s="38"/>
    </row>
    <row r="17" spans="13:15" ht="12.75">
      <c r="M17" s="174"/>
      <c r="N17" s="175"/>
      <c r="O17" s="38"/>
    </row>
    <row r="18" spans="4:15" ht="12.75">
      <c r="D18" t="s">
        <v>384</v>
      </c>
      <c r="E18" t="s">
        <v>158</v>
      </c>
      <c r="G18" s="38" t="s">
        <v>159</v>
      </c>
      <c r="H18" s="185"/>
      <c r="M18" s="174"/>
      <c r="N18" s="175"/>
      <c r="O18" s="38"/>
    </row>
    <row r="19" spans="4:15" ht="18.75">
      <c r="D19">
        <v>0.25580050978630553</v>
      </c>
      <c r="E19">
        <v>-0.7943001950395208</v>
      </c>
      <c r="G19" s="186">
        <f>STDEV(I21:I28)</f>
        <v>0.26374505661046327</v>
      </c>
      <c r="H19" s="185"/>
      <c r="M19" s="174"/>
      <c r="N19" s="175"/>
      <c r="O19" s="38"/>
    </row>
    <row r="20" spans="13:15" ht="12.75">
      <c r="M20" s="174"/>
      <c r="N20" s="175"/>
      <c r="O20" s="38"/>
    </row>
    <row r="21" spans="3:15" ht="12.75">
      <c r="C21">
        <v>1</v>
      </c>
      <c r="D21">
        <f>(C21-(3/8))/8.25</f>
        <v>0.07575757575757576</v>
      </c>
      <c r="E21">
        <f>NORMSINV(D21)</f>
        <v>-1.434200385119766</v>
      </c>
      <c r="F21" s="38">
        <f aca="true" t="shared" si="0" ref="F21:F28">$E$19+($D$19*E21)</f>
        <v>-1.1611693846888727</v>
      </c>
      <c r="G21" s="38">
        <f aca="true" t="shared" si="1" ref="G21:G28">POWER(10,F21)</f>
        <v>0.0689970647168213</v>
      </c>
      <c r="H21" s="38">
        <f aca="true" t="shared" si="2" ref="H21:H28">-LN(1-G21)</f>
        <v>0.07149284888170641</v>
      </c>
      <c r="I21">
        <f aca="true" t="shared" si="3" ref="I21:I28">LOG(H21)</f>
        <v>-1.145737396611976</v>
      </c>
      <c r="M21" s="174"/>
      <c r="N21" s="175"/>
      <c r="O21" s="38"/>
    </row>
    <row r="22" spans="3:15" ht="12.75">
      <c r="C22">
        <v>2</v>
      </c>
      <c r="D22">
        <f aca="true" t="shared" si="4" ref="D22:D28">(C22-(3/8))/8.25</f>
        <v>0.19696969696969696</v>
      </c>
      <c r="E22">
        <f aca="true" t="shared" si="5" ref="E22:E28">NORMSINV(D22)</f>
        <v>-0.8524943950760644</v>
      </c>
      <c r="F22" s="38">
        <f t="shared" si="0"/>
        <v>-1.0123686958899463</v>
      </c>
      <c r="G22" s="38">
        <f t="shared" si="1"/>
        <v>0.09719217569021871</v>
      </c>
      <c r="H22" s="38">
        <f t="shared" si="2"/>
        <v>0.10224556736188901</v>
      </c>
      <c r="I22">
        <f t="shared" si="3"/>
        <v>-0.9903555108218424</v>
      </c>
      <c r="M22" s="174"/>
      <c r="N22" s="175"/>
      <c r="O22" s="38"/>
    </row>
    <row r="23" spans="3:15" ht="12.75">
      <c r="C23">
        <v>3</v>
      </c>
      <c r="D23">
        <f t="shared" si="4"/>
        <v>0.3181818181818182</v>
      </c>
      <c r="E23">
        <f t="shared" si="5"/>
        <v>-0.4727894520328846</v>
      </c>
      <c r="F23" s="38">
        <f t="shared" si="0"/>
        <v>-0.9152399778911207</v>
      </c>
      <c r="G23" s="38">
        <f t="shared" si="1"/>
        <v>0.12155141589748614</v>
      </c>
      <c r="H23" s="38">
        <f t="shared" si="2"/>
        <v>0.12959789998577845</v>
      </c>
      <c r="I23">
        <f t="shared" si="3"/>
        <v>-0.887402035749203</v>
      </c>
      <c r="M23" s="174"/>
      <c r="N23" s="175"/>
      <c r="O23" s="38"/>
    </row>
    <row r="24" spans="3:15" ht="12.75">
      <c r="C24">
        <v>4</v>
      </c>
      <c r="D24">
        <f t="shared" si="4"/>
        <v>0.4393939393939394</v>
      </c>
      <c r="E24">
        <f t="shared" si="5"/>
        <v>-0.15250634533003904</v>
      </c>
      <c r="F24" s="38">
        <f t="shared" si="0"/>
        <v>-0.8333113959205911</v>
      </c>
      <c r="G24" s="38">
        <f t="shared" si="1"/>
        <v>0.14678734120861608</v>
      </c>
      <c r="H24" s="38">
        <f t="shared" si="2"/>
        <v>0.1587464556555971</v>
      </c>
      <c r="I24">
        <f t="shared" si="3"/>
        <v>-0.7992959624542539</v>
      </c>
      <c r="M24" s="174"/>
      <c r="N24" s="175"/>
      <c r="O24" s="38"/>
    </row>
    <row r="25" spans="3:15" ht="12.75">
      <c r="C25">
        <v>5</v>
      </c>
      <c r="D25">
        <f t="shared" si="4"/>
        <v>0.5606060606060606</v>
      </c>
      <c r="E25">
        <f t="shared" si="5"/>
        <v>0.15250634533003904</v>
      </c>
      <c r="F25" s="38">
        <f t="shared" si="0"/>
        <v>-0.7552889941584504</v>
      </c>
      <c r="G25" s="38">
        <f t="shared" si="1"/>
        <v>0.17567542215669554</v>
      </c>
      <c r="H25" s="38">
        <f t="shared" si="2"/>
        <v>0.1931909214832905</v>
      </c>
      <c r="I25">
        <f t="shared" si="3"/>
        <v>-0.7140132860072186</v>
      </c>
      <c r="M25" s="174"/>
      <c r="N25" s="175"/>
      <c r="O25" s="38"/>
    </row>
    <row r="26" spans="3:9" ht="12.75">
      <c r="C26">
        <v>6</v>
      </c>
      <c r="D26">
        <f t="shared" si="4"/>
        <v>0.6818181818181818</v>
      </c>
      <c r="E26">
        <f t="shared" si="5"/>
        <v>0.4727894520328846</v>
      </c>
      <c r="F26" s="38">
        <f t="shared" si="0"/>
        <v>-0.6733604121879209</v>
      </c>
      <c r="G26" s="38">
        <f t="shared" si="1"/>
        <v>0.21214831553941485</v>
      </c>
      <c r="H26" s="38">
        <f t="shared" si="2"/>
        <v>0.2384454245290429</v>
      </c>
      <c r="I26">
        <f t="shared" si="3"/>
        <v>-0.6226110067207983</v>
      </c>
    </row>
    <row r="27" spans="3:9" ht="12.75">
      <c r="C27">
        <v>7</v>
      </c>
      <c r="D27">
        <f t="shared" si="4"/>
        <v>0.803030303030303</v>
      </c>
      <c r="E27">
        <f t="shared" si="5"/>
        <v>0.8524943950760644</v>
      </c>
      <c r="F27" s="38">
        <f t="shared" si="0"/>
        <v>-0.5762316941890954</v>
      </c>
      <c r="G27" s="38">
        <f t="shared" si="1"/>
        <v>0.26531897193322834</v>
      </c>
      <c r="H27" s="38">
        <f t="shared" si="2"/>
        <v>0.308318849383244</v>
      </c>
      <c r="I27">
        <f t="shared" si="3"/>
        <v>-0.5109999234314879</v>
      </c>
    </row>
    <row r="28" spans="3:9" ht="12.75">
      <c r="C28">
        <v>8</v>
      </c>
      <c r="D28">
        <f t="shared" si="4"/>
        <v>0.9242424242424242</v>
      </c>
      <c r="E28">
        <f t="shared" si="5"/>
        <v>1.434200385119766</v>
      </c>
      <c r="F28" s="38">
        <f t="shared" si="0"/>
        <v>-0.4274310053901689</v>
      </c>
      <c r="G28" s="38">
        <f t="shared" si="1"/>
        <v>0.3737394951497953</v>
      </c>
      <c r="H28" s="38">
        <f t="shared" si="2"/>
        <v>0.4679888525118443</v>
      </c>
      <c r="I28">
        <f t="shared" si="3"/>
        <v>-0.32976449169137256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00390625" defaultRowHeight="12"/>
  <sheetData>
    <row r="1" ht="18.75">
      <c r="A1" s="53" t="s">
        <v>613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1" sqref="A1"/>
    </sheetView>
  </sheetViews>
  <sheetFormatPr defaultColWidth="11.00390625" defaultRowHeight="12"/>
  <sheetData>
    <row r="1" ht="18.75">
      <c r="A1" s="37" t="s">
        <v>532</v>
      </c>
    </row>
    <row r="2" spans="1:5" ht="12.75">
      <c r="A2" s="42" t="s">
        <v>533</v>
      </c>
      <c r="B2" s="43"/>
      <c r="C2" s="43"/>
      <c r="D2" s="43"/>
      <c r="E2" s="43"/>
    </row>
    <row r="3" spans="1:12" ht="18.75">
      <c r="A3" s="43"/>
      <c r="B3" s="43" t="s">
        <v>36</v>
      </c>
      <c r="C3" s="43" t="s">
        <v>431</v>
      </c>
      <c r="D3" s="43" t="s">
        <v>126</v>
      </c>
      <c r="E3" s="43" t="s">
        <v>384</v>
      </c>
      <c r="F3" t="s">
        <v>1</v>
      </c>
      <c r="G3" t="s">
        <v>566</v>
      </c>
      <c r="I3" t="s">
        <v>384</v>
      </c>
      <c r="J3" t="s">
        <v>158</v>
      </c>
      <c r="L3" s="176" t="s">
        <v>159</v>
      </c>
    </row>
    <row r="4" spans="1:12" ht="18.75">
      <c r="A4" s="43" t="s">
        <v>385</v>
      </c>
      <c r="B4" s="43">
        <v>0.4</v>
      </c>
      <c r="C4" s="43">
        <v>0.14</v>
      </c>
      <c r="D4" s="44">
        <f>EXP(SQRT(LN(POWER(C4,2)/POWER(B4,2)+1)))</f>
        <v>1.4048615130541438</v>
      </c>
      <c r="E4" s="45">
        <f>LOG10(D4)</f>
        <v>0.14763351493098126</v>
      </c>
      <c r="F4">
        <f>LOG(B4/SQRT(POWER(C4,2)/POWER(B4,2)+1))</f>
        <v>-0.423033183509718</v>
      </c>
      <c r="G4">
        <v>0.1953</v>
      </c>
      <c r="I4">
        <v>0.09202055463702995</v>
      </c>
      <c r="J4">
        <v>-0.5625908635074199</v>
      </c>
      <c r="L4" s="177">
        <f>STDEV(N6:N67)</f>
        <v>0.10748885372488551</v>
      </c>
    </row>
    <row r="5" spans="1:7" ht="12.75">
      <c r="A5" s="43" t="s">
        <v>386</v>
      </c>
      <c r="B5" s="43">
        <v>0.29</v>
      </c>
      <c r="C5" s="43">
        <v>0.07</v>
      </c>
      <c r="D5" s="44">
        <f>EXP(SQRT(LN(POWER(C5,2)/POWER(B5,2)+1)))</f>
        <v>1.2686713503089098</v>
      </c>
      <c r="E5" s="45">
        <f>LOG10(D5)</f>
        <v>0.10334913254943698</v>
      </c>
      <c r="F5">
        <f>LOG(B5/SQRT(POWER(C5,2)/POWER(B5,2)+1))</f>
        <v>-0.5498990075245443</v>
      </c>
      <c r="G5">
        <v>0.1217</v>
      </c>
    </row>
    <row r="6" spans="1:14" ht="12.75">
      <c r="A6" s="43" t="s">
        <v>0</v>
      </c>
      <c r="B6" s="43">
        <v>0.26</v>
      </c>
      <c r="C6" s="43">
        <v>0.06</v>
      </c>
      <c r="D6" s="44">
        <f>EXP(SQRT(LN(POWER(C6,2)/POWER(B6,2)+1)))</f>
        <v>1.255812068543933</v>
      </c>
      <c r="E6" s="45">
        <f>LOG10(D6)</f>
        <v>0.09892465237804736</v>
      </c>
      <c r="F6">
        <f>LOG(B6/SQRT(POWER(C6,2)/POWER(B6,2)+1))</f>
        <v>-0.5962933008767922</v>
      </c>
      <c r="G6">
        <v>0.1139</v>
      </c>
      <c r="H6">
        <v>1</v>
      </c>
      <c r="I6">
        <f>(H6-(3/8))/62.25</f>
        <v>0.010040160642570281</v>
      </c>
      <c r="J6">
        <f>NORMSINV(I6)</f>
        <v>-2.324850356671959</v>
      </c>
      <c r="K6" s="174">
        <f>$J$4+($I$4*J6)</f>
        <v>-0.7765248827764706</v>
      </c>
      <c r="L6" s="175">
        <f>POWER(10,K6)</f>
        <v>0.16729197841985796</v>
      </c>
      <c r="M6" s="38">
        <f>-LN(1-L6)</f>
        <v>0.18307221256934691</v>
      </c>
      <c r="N6">
        <f>LOG(M6)</f>
        <v>-0.7373775696448447</v>
      </c>
    </row>
    <row r="7" spans="5:14" ht="12.75">
      <c r="E7" s="38"/>
      <c r="H7">
        <v>2</v>
      </c>
      <c r="I7">
        <f aca="true" t="shared" si="0" ref="I7:I67">(H7-(3/8))/62.25</f>
        <v>0.02610441767068273</v>
      </c>
      <c r="J7">
        <f aca="true" t="shared" si="1" ref="J7:J67">NORMSINV(I7)</f>
        <v>-1.9414073904044926</v>
      </c>
      <c r="K7" s="174">
        <f aca="true" t="shared" si="2" ref="K7:K67">$J$4+($I$4*J7)</f>
        <v>-0.7412402483488703</v>
      </c>
      <c r="L7" s="175">
        <f aca="true" t="shared" si="3" ref="L7:L67">POWER(10,K7)</f>
        <v>0.18145116112907336</v>
      </c>
      <c r="M7" s="38">
        <f aca="true" t="shared" si="4" ref="M7:M67">-LN(1-L7)</f>
        <v>0.2002222152022151</v>
      </c>
      <c r="N7">
        <f aca="true" t="shared" si="5" ref="N7:N67">LOG(M7)</f>
        <v>-0.698487738023114</v>
      </c>
    </row>
    <row r="8" spans="1:14" ht="12.75">
      <c r="A8" s="42" t="s">
        <v>37</v>
      </c>
      <c r="B8" s="43"/>
      <c r="C8" s="43"/>
      <c r="D8" s="43"/>
      <c r="E8" s="38"/>
      <c r="H8">
        <v>3</v>
      </c>
      <c r="I8">
        <f t="shared" si="0"/>
        <v>0.04216867469879518</v>
      </c>
      <c r="J8">
        <f t="shared" si="1"/>
        <v>-1.7260572349186987</v>
      </c>
      <c r="K8" s="174">
        <f t="shared" si="2"/>
        <v>-0.7214236075998969</v>
      </c>
      <c r="L8" s="175">
        <f t="shared" si="3"/>
        <v>0.18992248863820413</v>
      </c>
      <c r="M8" s="38">
        <f t="shared" si="4"/>
        <v>0.21062534285468532</v>
      </c>
      <c r="N8">
        <f t="shared" si="5"/>
        <v>-0.676489374842026</v>
      </c>
    </row>
    <row r="9" spans="1:14" ht="12.75">
      <c r="A9" s="43"/>
      <c r="B9" s="43" t="s">
        <v>598</v>
      </c>
      <c r="C9" s="43" t="s">
        <v>431</v>
      </c>
      <c r="D9" s="43" t="s">
        <v>126</v>
      </c>
      <c r="E9" s="38" t="s">
        <v>384</v>
      </c>
      <c r="H9">
        <v>4</v>
      </c>
      <c r="I9">
        <f t="shared" si="0"/>
        <v>0.05823293172690763</v>
      </c>
      <c r="J9">
        <f t="shared" si="1"/>
        <v>-1.5697833077865653</v>
      </c>
      <c r="K9" s="174">
        <f t="shared" si="2"/>
        <v>-0.7070431941498911</v>
      </c>
      <c r="L9" s="175">
        <f t="shared" si="3"/>
        <v>0.1963165014256274</v>
      </c>
      <c r="M9" s="38">
        <f t="shared" si="4"/>
        <v>0.2185497457966009</v>
      </c>
      <c r="N9">
        <f t="shared" si="5"/>
        <v>-0.6604496943182211</v>
      </c>
    </row>
    <row r="10" spans="1:14" ht="12.75">
      <c r="A10" s="43" t="s">
        <v>386</v>
      </c>
      <c r="B10" s="43">
        <v>0.29</v>
      </c>
      <c r="C10" s="43">
        <v>0.06</v>
      </c>
      <c r="D10" s="44">
        <f>EXP(SQRT(LN(POWER(C10,2)/POWER(B10,2)+1)))</f>
        <v>1.2271965536395741</v>
      </c>
      <c r="E10" s="45">
        <f>LOG10(D10)</f>
        <v>0.08891412696880953</v>
      </c>
      <c r="F10">
        <f>LOG(B10/SQRT(POWER(C10,2)/POWER(B10,2)+1))</f>
        <v>-0.5467038008851082</v>
      </c>
      <c r="G10">
        <v>0.1046</v>
      </c>
      <c r="H10">
        <v>5</v>
      </c>
      <c r="I10">
        <f t="shared" si="0"/>
        <v>0.07429718875502007</v>
      </c>
      <c r="J10">
        <f t="shared" si="1"/>
        <v>-1.444514055037871</v>
      </c>
      <c r="K10" s="174">
        <f t="shared" si="2"/>
        <v>-0.69551584803299</v>
      </c>
      <c r="L10" s="175">
        <f t="shared" si="3"/>
        <v>0.2015970403649956</v>
      </c>
      <c r="M10" s="38">
        <f t="shared" si="4"/>
        <v>0.22514184703408271</v>
      </c>
      <c r="N10">
        <f t="shared" si="5"/>
        <v>-0.6475437753375963</v>
      </c>
    </row>
    <row r="11" spans="1:14" ht="12.75">
      <c r="A11" s="43" t="s">
        <v>0</v>
      </c>
      <c r="B11" s="43">
        <v>0.29</v>
      </c>
      <c r="C11" s="43">
        <v>0.06</v>
      </c>
      <c r="D11" s="44">
        <f>EXP(SQRT(LN(POWER(C11,2)/POWER(B11,2)+1)))</f>
        <v>1.2271965536395741</v>
      </c>
      <c r="E11" s="45">
        <f>LOG10(D11)</f>
        <v>0.08891412696880953</v>
      </c>
      <c r="F11">
        <f>LOG(B11/SQRT(POWER(C11,2)/POWER(B11,2)+1))</f>
        <v>-0.5467038008851082</v>
      </c>
      <c r="G11">
        <v>0.1046</v>
      </c>
      <c r="H11">
        <v>6</v>
      </c>
      <c r="I11">
        <f t="shared" si="0"/>
        <v>0.09036144578313253</v>
      </c>
      <c r="J11">
        <f t="shared" si="1"/>
        <v>-1.338532911177026</v>
      </c>
      <c r="K11" s="174">
        <f t="shared" si="2"/>
        <v>-0.6857634043938482</v>
      </c>
      <c r="L11" s="175">
        <f t="shared" si="3"/>
        <v>0.20617528121971576</v>
      </c>
      <c r="M11" s="38">
        <f t="shared" si="4"/>
        <v>0.2308925993091317</v>
      </c>
      <c r="N11">
        <f t="shared" si="5"/>
        <v>-0.6365899870945841</v>
      </c>
    </row>
    <row r="12" spans="1:14" ht="12.75">
      <c r="A12" s="42" t="s">
        <v>38</v>
      </c>
      <c r="B12" s="43"/>
      <c r="C12" s="43"/>
      <c r="D12" s="43"/>
      <c r="E12" s="38"/>
      <c r="H12">
        <v>7</v>
      </c>
      <c r="I12">
        <f t="shared" si="0"/>
        <v>0.10642570281124498</v>
      </c>
      <c r="J12">
        <f t="shared" si="1"/>
        <v>-1.245762177859433</v>
      </c>
      <c r="K12" s="174">
        <f t="shared" si="2"/>
        <v>-0.6772265900598793</v>
      </c>
      <c r="L12" s="175">
        <f t="shared" si="3"/>
        <v>0.21026810946056818</v>
      </c>
      <c r="M12" s="38">
        <f t="shared" si="4"/>
        <v>0.23606177018718782</v>
      </c>
      <c r="N12">
        <f t="shared" si="5"/>
        <v>-0.6269743404989514</v>
      </c>
    </row>
    <row r="13" spans="1:14" ht="12.75">
      <c r="A13" s="43"/>
      <c r="B13" s="43" t="s">
        <v>598</v>
      </c>
      <c r="C13" s="43" t="s">
        <v>431</v>
      </c>
      <c r="D13" s="43" t="s">
        <v>126</v>
      </c>
      <c r="E13" s="38" t="s">
        <v>384</v>
      </c>
      <c r="H13">
        <v>8</v>
      </c>
      <c r="I13">
        <f t="shared" si="0"/>
        <v>0.12248995983935743</v>
      </c>
      <c r="J13">
        <f t="shared" si="1"/>
        <v>-1.1626298146438785</v>
      </c>
      <c r="K13" s="174">
        <f t="shared" si="2"/>
        <v>-0.669576703888497</v>
      </c>
      <c r="L13" s="175">
        <f t="shared" si="3"/>
        <v>0.21400469242314157</v>
      </c>
      <c r="M13" s="38">
        <f t="shared" si="4"/>
        <v>0.24080445657474797</v>
      </c>
      <c r="N13">
        <f t="shared" si="5"/>
        <v>-0.6183354798398307</v>
      </c>
    </row>
    <row r="14" spans="1:14" ht="12.75">
      <c r="A14" s="43" t="s">
        <v>386</v>
      </c>
      <c r="B14" s="43">
        <v>0.29</v>
      </c>
      <c r="C14" s="43">
        <v>0.07</v>
      </c>
      <c r="D14" s="44">
        <f>EXP(SQRT(LN(POWER(C14,2)/POWER(B14,2)+1)))</f>
        <v>1.2686713503089098</v>
      </c>
      <c r="E14" s="45">
        <f>LOG10(D14)</f>
        <v>0.10334913254943698</v>
      </c>
      <c r="F14">
        <f>LOG(B14/SQRT(POWER(C14,2)/POWER(B14,2)+1))</f>
        <v>-0.5498990075245443</v>
      </c>
      <c r="G14">
        <v>0.1217</v>
      </c>
      <c r="H14">
        <v>9</v>
      </c>
      <c r="I14">
        <f t="shared" si="0"/>
        <v>0.13855421686746988</v>
      </c>
      <c r="J14">
        <f t="shared" si="1"/>
        <v>-1.0868370736716315</v>
      </c>
      <c r="K14" s="174">
        <f t="shared" si="2"/>
        <v>-0.6626022138267701</v>
      </c>
      <c r="L14" s="175">
        <f t="shared" si="3"/>
        <v>0.21746921468655572</v>
      </c>
      <c r="M14" s="38">
        <f t="shared" si="4"/>
        <v>0.2452220150881121</v>
      </c>
      <c r="N14">
        <f t="shared" si="5"/>
        <v>-0.6104405431173396</v>
      </c>
    </row>
    <row r="15" spans="1:14" ht="12.75">
      <c r="A15" s="43" t="s">
        <v>0</v>
      </c>
      <c r="B15" s="43">
        <v>0.25</v>
      </c>
      <c r="C15" s="43">
        <v>0.06</v>
      </c>
      <c r="D15" s="44">
        <f>EXP(SQRT(LN(POWER(C15,2)/POWER(B15,2)+1)))</f>
        <v>1.2669948273599925</v>
      </c>
      <c r="E15" s="45">
        <f>LOG10(D15)</f>
        <v>0.10277484183403501</v>
      </c>
      <c r="F15">
        <f>LOG(B15/SQRT(POWER(C15,2)/POWER(B15,2)+1))</f>
        <v>-0.6142207123987449</v>
      </c>
      <c r="G15">
        <v>0.1175</v>
      </c>
      <c r="H15">
        <f aca="true" t="shared" si="6" ref="H15:H25">H14+1</f>
        <v>10</v>
      </c>
      <c r="I15">
        <f t="shared" si="0"/>
        <v>0.15461847389558234</v>
      </c>
      <c r="J15">
        <f t="shared" si="1"/>
        <v>-1.0168241715291515</v>
      </c>
      <c r="K15" s="174">
        <f t="shared" si="2"/>
        <v>-0.6561595877398709</v>
      </c>
      <c r="L15" s="175">
        <f t="shared" si="3"/>
        <v>0.22071935190482397</v>
      </c>
      <c r="M15" s="38">
        <f t="shared" si="4"/>
        <v>0.24938403086084615</v>
      </c>
      <c r="N15">
        <f t="shared" si="5"/>
        <v>-0.6031313597229913</v>
      </c>
    </row>
    <row r="16" spans="1:14" ht="12.75">
      <c r="A16" s="42" t="s">
        <v>39</v>
      </c>
      <c r="B16" s="43"/>
      <c r="C16" s="43"/>
      <c r="D16" s="43"/>
      <c r="E16" s="38"/>
      <c r="H16">
        <f t="shared" si="6"/>
        <v>11</v>
      </c>
      <c r="I16">
        <f t="shared" si="0"/>
        <v>0.1706827309236948</v>
      </c>
      <c r="J16">
        <f t="shared" si="1"/>
        <v>-0.9514701559965033</v>
      </c>
      <c r="K16" s="174">
        <f t="shared" si="2"/>
        <v>-0.6501456749827996</v>
      </c>
      <c r="L16" s="175">
        <f t="shared" si="3"/>
        <v>0.22379703324055936</v>
      </c>
      <c r="M16" s="38">
        <f t="shared" si="4"/>
        <v>0.2533412378961189</v>
      </c>
      <c r="N16">
        <f t="shared" si="5"/>
        <v>-0.5962941116976465</v>
      </c>
    </row>
    <row r="17" spans="1:14" ht="12.75">
      <c r="A17" s="43"/>
      <c r="B17" s="43" t="s">
        <v>598</v>
      </c>
      <c r="C17" s="43" t="s">
        <v>431</v>
      </c>
      <c r="D17" s="43" t="s">
        <v>126</v>
      </c>
      <c r="E17" s="38" t="s">
        <v>384</v>
      </c>
      <c r="H17">
        <f t="shared" si="6"/>
        <v>12</v>
      </c>
      <c r="I17">
        <f t="shared" si="0"/>
        <v>0.18674698795180722</v>
      </c>
      <c r="J17">
        <f t="shared" si="1"/>
        <v>-0.8899473868950736</v>
      </c>
      <c r="K17" s="174">
        <f t="shared" si="2"/>
        <v>-0.64448431564728</v>
      </c>
      <c r="L17" s="175">
        <f t="shared" si="3"/>
        <v>0.22673349594636946</v>
      </c>
      <c r="M17" s="38">
        <f t="shared" si="4"/>
        <v>0.25713152389609956</v>
      </c>
      <c r="N17">
        <f t="shared" si="5"/>
        <v>-0.5898446763137161</v>
      </c>
    </row>
    <row r="18" spans="1:14" ht="12.75">
      <c r="A18" s="43" t="s">
        <v>386</v>
      </c>
      <c r="B18" s="43">
        <v>0.26</v>
      </c>
      <c r="C18" s="43">
        <v>0.06</v>
      </c>
      <c r="D18" s="44">
        <f>EXP(SQRT(LN(POWER(C18,2)/POWER(B18,2)+1)))</f>
        <v>1.255812068543933</v>
      </c>
      <c r="E18" s="45">
        <f>LOG10(D18)</f>
        <v>0.09892465237804736</v>
      </c>
      <c r="F18">
        <f>LOG(B18/SQRT(POWER(C18,2)/POWER(B18,2)+1))</f>
        <v>-0.5962933008767922</v>
      </c>
      <c r="G18">
        <v>0.1139</v>
      </c>
      <c r="H18">
        <f t="shared" si="6"/>
        <v>13</v>
      </c>
      <c r="I18">
        <f t="shared" si="0"/>
        <v>0.20281124497991967</v>
      </c>
      <c r="J18">
        <f t="shared" si="1"/>
        <v>-0.8316214916703757</v>
      </c>
      <c r="K18" s="174">
        <f t="shared" si="2"/>
        <v>-0.6391171344190021</v>
      </c>
      <c r="L18" s="175">
        <f t="shared" si="3"/>
        <v>0.22955294328524292</v>
      </c>
      <c r="M18" s="38">
        <f t="shared" si="4"/>
        <v>0.2607843394773454</v>
      </c>
      <c r="N18">
        <f t="shared" si="5"/>
        <v>-0.5837184922452647</v>
      </c>
    </row>
    <row r="19" spans="1:14" ht="12.75">
      <c r="A19" s="43" t="s">
        <v>0</v>
      </c>
      <c r="B19" s="43">
        <v>0.23</v>
      </c>
      <c r="C19" s="43">
        <v>0.06</v>
      </c>
      <c r="D19" s="44">
        <f>EXP(SQRT(LN(POWER(C19,2)/POWER(B19,2)+1)))</f>
        <v>1.2925122438445091</v>
      </c>
      <c r="E19" s="45">
        <f>LOG10(D19)</f>
        <v>0.111434665815436</v>
      </c>
      <c r="F19">
        <f>LOG(B19/SQRT(POWER(C19,2)/POWER(B19,2)+1))</f>
        <v>-0.6525685518745334</v>
      </c>
      <c r="G19">
        <v>0.1256</v>
      </c>
      <c r="H19">
        <f t="shared" si="6"/>
        <v>14</v>
      </c>
      <c r="I19">
        <f t="shared" si="0"/>
        <v>0.21887550200803213</v>
      </c>
      <c r="J19">
        <f t="shared" si="1"/>
        <v>-0.7759967957099434</v>
      </c>
      <c r="K19" s="174">
        <f t="shared" si="2"/>
        <v>-0.633998519045207</v>
      </c>
      <c r="L19" s="175">
        <f t="shared" si="3"/>
        <v>0.2322744716959831</v>
      </c>
      <c r="M19" s="38">
        <f t="shared" si="4"/>
        <v>0.2643229947325223</v>
      </c>
      <c r="N19">
        <f t="shared" si="5"/>
        <v>-0.5778650538525938</v>
      </c>
    </row>
    <row r="20" spans="1:14" ht="12.75">
      <c r="A20" s="42" t="s">
        <v>40</v>
      </c>
      <c r="B20" s="43"/>
      <c r="C20" s="43"/>
      <c r="D20" s="43"/>
      <c r="E20" s="38"/>
      <c r="H20">
        <f t="shared" si="6"/>
        <v>15</v>
      </c>
      <c r="I20">
        <f t="shared" si="0"/>
        <v>0.23493975903614459</v>
      </c>
      <c r="J20">
        <f t="shared" si="1"/>
        <v>-0.722675395081751</v>
      </c>
      <c r="K20" s="174">
        <f t="shared" si="2"/>
        <v>-0.6290918541853774</v>
      </c>
      <c r="L20" s="175">
        <f t="shared" si="3"/>
        <v>0.23491359211737187</v>
      </c>
      <c r="M20" s="38">
        <f t="shared" si="4"/>
        <v>0.2677665000535797</v>
      </c>
      <c r="N20">
        <f t="shared" si="5"/>
        <v>-0.5722437579884255</v>
      </c>
    </row>
    <row r="21" spans="1:14" ht="12.75">
      <c r="A21" s="43"/>
      <c r="B21" s="43" t="s">
        <v>598</v>
      </c>
      <c r="C21" s="43" t="s">
        <v>431</v>
      </c>
      <c r="D21" s="43" t="s">
        <v>126</v>
      </c>
      <c r="E21" s="38" t="s">
        <v>384</v>
      </c>
      <c r="H21">
        <f t="shared" si="6"/>
        <v>16</v>
      </c>
      <c r="I21">
        <f t="shared" si="0"/>
        <v>0.25100401606425704</v>
      </c>
      <c r="J21">
        <f t="shared" si="1"/>
        <v>-0.671333282298292</v>
      </c>
      <c r="K21" s="174">
        <f t="shared" si="2"/>
        <v>-0.6243673244908066</v>
      </c>
      <c r="L21" s="175">
        <f t="shared" si="3"/>
        <v>0.2374830814784358</v>
      </c>
      <c r="M21" s="38">
        <f t="shared" si="4"/>
        <v>0.2711305825217231</v>
      </c>
      <c r="N21">
        <f t="shared" si="5"/>
        <v>-0.566821492853565</v>
      </c>
    </row>
    <row r="22" spans="1:14" ht="12.75">
      <c r="A22" s="43" t="s">
        <v>386</v>
      </c>
      <c r="B22" s="43">
        <v>0.27</v>
      </c>
      <c r="C22" s="43">
        <v>0.06</v>
      </c>
      <c r="D22" s="44">
        <f>EXP(SQRT(LN(POWER(C22,2)/POWER(B22,2)+1)))</f>
        <v>1.2455158366179493</v>
      </c>
      <c r="E22" s="45">
        <f>LOG10(D22)</f>
        <v>0.09534925392155155</v>
      </c>
      <c r="F22">
        <f>LOG(B22/SQRT(POWER(C22,2)/POWER(B22,2)+1))</f>
        <v>-0.5791031892588341</v>
      </c>
      <c r="G22">
        <v>0.1106</v>
      </c>
      <c r="H22">
        <f t="shared" si="6"/>
        <v>17</v>
      </c>
      <c r="I22">
        <f t="shared" si="0"/>
        <v>0.26706827309236947</v>
      </c>
      <c r="J22">
        <f t="shared" si="1"/>
        <v>-0.6217032932909206</v>
      </c>
      <c r="K22" s="174">
        <f t="shared" si="2"/>
        <v>-0.6198003453757186</v>
      </c>
      <c r="L22" s="175">
        <f t="shared" si="3"/>
        <v>0.23999359682432875</v>
      </c>
      <c r="M22" s="38">
        <f t="shared" si="4"/>
        <v>0.274428420506106</v>
      </c>
      <c r="N22">
        <f t="shared" si="5"/>
        <v>-0.561570913993627</v>
      </c>
    </row>
    <row r="23" spans="1:14" ht="12.75">
      <c r="A23" s="43" t="s">
        <v>0</v>
      </c>
      <c r="B23" s="43">
        <v>0.24</v>
      </c>
      <c r="C23" s="43">
        <v>0.05</v>
      </c>
      <c r="D23" s="44">
        <f>EXP(SQRT(LN(POWER(C23,2)/POWER(B23,2)+1)))</f>
        <v>1.228906086988033</v>
      </c>
      <c r="E23" s="45">
        <f>LOG10(D23)</f>
        <v>0.08951869536711644</v>
      </c>
      <c r="F23">
        <f>LOG(B23/SQRT(POWER(C23,2)/POWER(B23,2)+1))</f>
        <v>-0.6290147525781576</v>
      </c>
      <c r="G23">
        <v>0.1015</v>
      </c>
      <c r="H23">
        <f t="shared" si="6"/>
        <v>18</v>
      </c>
      <c r="I23">
        <f t="shared" si="0"/>
        <v>0.28313253012048195</v>
      </c>
      <c r="J23">
        <f t="shared" si="1"/>
        <v>-0.573561464989325</v>
      </c>
      <c r="K23" s="174">
        <f t="shared" si="2"/>
        <v>-0.615370307634165</v>
      </c>
      <c r="L23" s="175">
        <f t="shared" si="3"/>
        <v>0.24245418918455894</v>
      </c>
      <c r="M23" s="38">
        <f t="shared" si="4"/>
        <v>0.27767126710321743</v>
      </c>
      <c r="N23">
        <f t="shared" si="5"/>
        <v>-0.5564690578951412</v>
      </c>
    </row>
    <row r="24" spans="1:14" ht="12.75">
      <c r="A24" s="42" t="s">
        <v>41</v>
      </c>
      <c r="B24" s="43"/>
      <c r="C24" s="43"/>
      <c r="D24" s="43"/>
      <c r="E24" s="38"/>
      <c r="H24">
        <f t="shared" si="6"/>
        <v>19</v>
      </c>
      <c r="I24">
        <f t="shared" si="0"/>
        <v>0.2991967871485944</v>
      </c>
      <c r="J24">
        <f t="shared" si="1"/>
        <v>-0.5267111191642471</v>
      </c>
      <c r="K24" s="174">
        <f t="shared" si="2"/>
        <v>-0.6110591128264047</v>
      </c>
      <c r="L24" s="175">
        <f t="shared" si="3"/>
        <v>0.24487299168678298</v>
      </c>
      <c r="M24" s="38">
        <f t="shared" si="4"/>
        <v>0.2808693209495898</v>
      </c>
      <c r="N24">
        <f t="shared" si="5"/>
        <v>-0.5514956957216887</v>
      </c>
    </row>
    <row r="25" spans="1:14" ht="12.75">
      <c r="A25" s="43"/>
      <c r="B25" s="43" t="s">
        <v>598</v>
      </c>
      <c r="C25" s="43" t="s">
        <v>431</v>
      </c>
      <c r="D25" s="43" t="s">
        <v>126</v>
      </c>
      <c r="E25" s="38" t="s">
        <v>384</v>
      </c>
      <c r="H25">
        <f t="shared" si="6"/>
        <v>20</v>
      </c>
      <c r="I25">
        <f t="shared" si="0"/>
        <v>0.3152610441767068</v>
      </c>
      <c r="J25">
        <f t="shared" si="1"/>
        <v>-0.4809919573744992</v>
      </c>
      <c r="K25" s="174">
        <f t="shared" si="2"/>
        <v>-0.606852010200972</v>
      </c>
      <c r="L25" s="175">
        <f t="shared" si="3"/>
        <v>0.24725665510445913</v>
      </c>
      <c r="M25" s="38">
        <f t="shared" si="4"/>
        <v>0.2840309527147853</v>
      </c>
      <c r="N25">
        <f t="shared" si="5"/>
        <v>-0.546634329457396</v>
      </c>
    </row>
    <row r="26" spans="1:14" ht="12.75">
      <c r="A26" s="43" t="s">
        <v>386</v>
      </c>
      <c r="B26" s="43">
        <v>0.3</v>
      </c>
      <c r="C26" s="43">
        <v>0.07</v>
      </c>
      <c r="D26" s="44">
        <f>EXP(SQRT(LN(POWER(C26,2)/POWER(B26,2)+1)))</f>
        <v>1.2589118910577854</v>
      </c>
      <c r="E26" s="45">
        <f>LOG10(D26)</f>
        <v>0.09999533569449047</v>
      </c>
      <c r="F26">
        <f>LOG(B26/SQRT(POWER(C26,2)/POWER(B26,2)+1))</f>
        <v>-0.5343905967743217</v>
      </c>
      <c r="G26">
        <v>0.1187</v>
      </c>
      <c r="H26">
        <v>21</v>
      </c>
      <c r="I26">
        <f t="shared" si="0"/>
        <v>0.3313253012048193</v>
      </c>
      <c r="J26">
        <f t="shared" si="1"/>
        <v>-0.4362573235994205</v>
      </c>
      <c r="K26" s="174">
        <f t="shared" si="2"/>
        <v>-0.6027355043895049</v>
      </c>
      <c r="L26" s="175">
        <f t="shared" si="3"/>
        <v>0.24961144568573063</v>
      </c>
      <c r="M26" s="38">
        <f t="shared" si="4"/>
        <v>0.2871641341859387</v>
      </c>
      <c r="N26">
        <f t="shared" si="5"/>
        <v>-0.5418698029318614</v>
      </c>
    </row>
    <row r="27" spans="1:14" ht="12.75">
      <c r="A27" s="43" t="s">
        <v>0</v>
      </c>
      <c r="B27" s="43">
        <v>0.28</v>
      </c>
      <c r="C27" s="43">
        <v>0.06</v>
      </c>
      <c r="D27" s="44">
        <f>EXP(SQRT(LN(POWER(C27,2)/POWER(B27,2)+1)))</f>
        <v>1.2360059307387008</v>
      </c>
      <c r="E27" s="45">
        <f>LOG10(D27)</f>
        <v>0.09202055463702995</v>
      </c>
      <c r="F27">
        <f>LOG(B27/SQRT(POWER(C27,2)/POWER(B27,2)+1))</f>
        <v>-0.5625908635074199</v>
      </c>
      <c r="G27">
        <v>0.1075</v>
      </c>
      <c r="H27">
        <f>1+H26</f>
        <v>22</v>
      </c>
      <c r="I27">
        <f t="shared" si="0"/>
        <v>0.3473895582329317</v>
      </c>
      <c r="J27">
        <f t="shared" si="1"/>
        <v>-0.39237761484400835</v>
      </c>
      <c r="K27" s="174">
        <f t="shared" si="2"/>
        <v>-0.5986976692525205</v>
      </c>
      <c r="L27" s="175">
        <f t="shared" si="3"/>
        <v>0.25194301992886703</v>
      </c>
      <c r="M27" s="38">
        <f t="shared" si="4"/>
        <v>0.2902761273432612</v>
      </c>
      <c r="N27">
        <f t="shared" si="5"/>
        <v>-0.537188679598595</v>
      </c>
    </row>
    <row r="28" spans="8:14" ht="12.75">
      <c r="H28">
        <f aca="true" t="shared" si="7" ref="H28:H67">1+H27</f>
        <v>23</v>
      </c>
      <c r="I28">
        <f t="shared" si="0"/>
        <v>0.3634538152610442</v>
      </c>
      <c r="J28">
        <f t="shared" si="1"/>
        <v>-0.3492414180072956</v>
      </c>
      <c r="K28" s="174">
        <f t="shared" si="2"/>
        <v>-0.5947282524946741</v>
      </c>
      <c r="L28" s="175">
        <f t="shared" si="3"/>
        <v>0.2542563144983961</v>
      </c>
      <c r="M28" s="38">
        <f t="shared" si="4"/>
        <v>0.29337332293576</v>
      </c>
      <c r="N28">
        <f t="shared" si="5"/>
        <v>-0.5325793800242057</v>
      </c>
    </row>
    <row r="29" spans="1:14" ht="12.75">
      <c r="A29" s="4" t="s">
        <v>35</v>
      </c>
      <c r="H29">
        <f t="shared" si="7"/>
        <v>24</v>
      </c>
      <c r="I29">
        <f t="shared" si="0"/>
        <v>0.3795180722891566</v>
      </c>
      <c r="J29">
        <f t="shared" si="1"/>
        <v>-0.30674755180370994</v>
      </c>
      <c r="K29" s="174">
        <f t="shared" si="2"/>
        <v>-0.5908179433579483</v>
      </c>
      <c r="L29" s="175">
        <f t="shared" si="3"/>
        <v>0.2565559295918795</v>
      </c>
      <c r="M29" s="38">
        <f t="shared" si="4"/>
        <v>0.2964617406483422</v>
      </c>
      <c r="N29">
        <f t="shared" si="5"/>
        <v>-0.5280313457986164</v>
      </c>
    </row>
    <row r="30" spans="8:14" ht="12.75">
      <c r="H30">
        <f t="shared" si="7"/>
        <v>25</v>
      </c>
      <c r="I30">
        <f t="shared" si="0"/>
        <v>0.39558232931726905</v>
      </c>
      <c r="J30">
        <f t="shared" si="1"/>
        <v>-0.26479938242118806</v>
      </c>
      <c r="K30" s="174">
        <f t="shared" si="2"/>
        <v>-0.5869578495453607</v>
      </c>
      <c r="L30" s="175">
        <f t="shared" si="3"/>
        <v>0.25884641263700675</v>
      </c>
      <c r="M30" s="38">
        <f t="shared" si="4"/>
        <v>0.29954740476818825</v>
      </c>
      <c r="N30">
        <f t="shared" si="5"/>
        <v>-0.5235344387167061</v>
      </c>
    </row>
    <row r="31" spans="8:14" ht="12.75">
      <c r="H31">
        <f t="shared" si="7"/>
        <v>26</v>
      </c>
      <c r="I31">
        <f t="shared" si="0"/>
        <v>0.41164658634538154</v>
      </c>
      <c r="J31">
        <f t="shared" si="1"/>
        <v>-0.22331164473143872</v>
      </c>
      <c r="K31" s="174">
        <f t="shared" si="2"/>
        <v>-0.5831401249125143</v>
      </c>
      <c r="L31" s="175">
        <f t="shared" si="3"/>
        <v>0.2611318677705547</v>
      </c>
      <c r="M31" s="38">
        <f t="shared" si="4"/>
        <v>0.30263581478258417</v>
      </c>
      <c r="N31">
        <f t="shared" si="5"/>
        <v>-0.519079677627939</v>
      </c>
    </row>
    <row r="32" spans="1:14" ht="12.75">
      <c r="A32" t="s">
        <v>490</v>
      </c>
      <c r="H32">
        <f t="shared" si="7"/>
        <v>27</v>
      </c>
      <c r="I32">
        <f t="shared" si="0"/>
        <v>0.42771084337349397</v>
      </c>
      <c r="J32">
        <f t="shared" si="1"/>
        <v>-0.182205894816434</v>
      </c>
      <c r="K32" s="174">
        <f t="shared" si="2"/>
        <v>-0.5793575510065645</v>
      </c>
      <c r="L32" s="175">
        <f t="shared" si="3"/>
        <v>0.2634161809513491</v>
      </c>
      <c r="M32" s="38">
        <f t="shared" si="4"/>
        <v>0.30573224229275214</v>
      </c>
      <c r="N32">
        <f t="shared" si="5"/>
        <v>-0.5146587584886781</v>
      </c>
    </row>
    <row r="33" spans="1:14" ht="12.75">
      <c r="A33" s="207">
        <v>0.3088</v>
      </c>
      <c r="B33">
        <f>-LN(1-A33)</f>
        <v>0.3693260614922911</v>
      </c>
      <c r="C33">
        <f>LOG(B33)</f>
        <v>-0.43259004527904377</v>
      </c>
      <c r="H33">
        <f t="shared" si="7"/>
        <v>28</v>
      </c>
      <c r="I33">
        <f t="shared" si="0"/>
        <v>0.44377510040160645</v>
      </c>
      <c r="J33">
        <f t="shared" si="1"/>
        <v>-0.14140482562652323</v>
      </c>
      <c r="K33" s="174">
        <f t="shared" si="2"/>
        <v>-0.5756030139899251</v>
      </c>
      <c r="L33" s="175">
        <f t="shared" si="3"/>
        <v>0.2657033230564767</v>
      </c>
      <c r="M33" s="38">
        <f t="shared" si="4"/>
        <v>0.3088421400100631</v>
      </c>
      <c r="N33">
        <f t="shared" si="5"/>
        <v>-0.5102634469204083</v>
      </c>
    </row>
    <row r="34" spans="1:14" ht="12.75">
      <c r="A34" s="207">
        <v>0.2704</v>
      </c>
      <c r="B34">
        <f aca="true" t="shared" si="8" ref="B34:B93">-LN(1-A34)</f>
        <v>0.3152588402220154</v>
      </c>
      <c r="C34">
        <f aca="true" t="shared" si="9" ref="C34:C93">LOG(B34)</f>
        <v>-0.5013327264652346</v>
      </c>
      <c r="H34">
        <f t="shared" si="7"/>
        <v>29</v>
      </c>
      <c r="I34">
        <f t="shared" si="0"/>
        <v>0.4598393574297189</v>
      </c>
      <c r="J34">
        <f t="shared" si="1"/>
        <v>-0.10083795132231899</v>
      </c>
      <c r="K34" s="174">
        <f t="shared" si="2"/>
        <v>-0.5718700277165616</v>
      </c>
      <c r="L34" s="175">
        <f t="shared" si="3"/>
        <v>0.2679970245521545</v>
      </c>
      <c r="M34" s="38">
        <f t="shared" si="4"/>
        <v>0.31197070020962586</v>
      </c>
      <c r="N34">
        <f t="shared" si="5"/>
        <v>-0.505886192311061</v>
      </c>
    </row>
    <row r="35" spans="1:14" ht="12.75">
      <c r="A35" s="207">
        <v>0.1897</v>
      </c>
      <c r="B35">
        <f t="shared" si="8"/>
        <v>0.21035072951545744</v>
      </c>
      <c r="C35">
        <f t="shared" si="9"/>
        <v>-0.6770559774716188</v>
      </c>
      <c r="H35">
        <f t="shared" si="7"/>
        <v>30</v>
      </c>
      <c r="I35">
        <f t="shared" si="0"/>
        <v>0.4759036144578313</v>
      </c>
      <c r="J35">
        <f t="shared" si="1"/>
        <v>-0.0604370598011883</v>
      </c>
      <c r="K35" s="174">
        <f t="shared" si="2"/>
        <v>-0.5681523152709567</v>
      </c>
      <c r="L35" s="175">
        <f t="shared" si="3"/>
        <v>0.2703010201159568</v>
      </c>
      <c r="M35" s="38">
        <f t="shared" si="4"/>
        <v>0.3151231862051767</v>
      </c>
      <c r="N35">
        <f t="shared" si="5"/>
        <v>-0.5015196410325943</v>
      </c>
    </row>
    <row r="36" spans="1:14" ht="12.75">
      <c r="A36" s="207">
        <v>0.1378</v>
      </c>
      <c r="B36">
        <f t="shared" si="8"/>
        <v>0.14826801666910283</v>
      </c>
      <c r="C36">
        <f t="shared" si="9"/>
        <v>-0.8289525218115377</v>
      </c>
      <c r="H36">
        <f t="shared" si="7"/>
        <v>31</v>
      </c>
      <c r="I36">
        <f t="shared" si="0"/>
        <v>0.4919678714859438</v>
      </c>
      <c r="J36">
        <f t="shared" si="1"/>
        <v>-0.020135075828875415</v>
      </c>
      <c r="K36" s="174">
        <f t="shared" si="2"/>
        <v>-0.5644437043528517</v>
      </c>
      <c r="L36" s="175">
        <f t="shared" si="3"/>
        <v>0.2726191099959026</v>
      </c>
      <c r="M36" s="38">
        <f t="shared" si="4"/>
        <v>0.318305018421182</v>
      </c>
      <c r="N36">
        <f t="shared" si="5"/>
        <v>-0.49715651420511614</v>
      </c>
    </row>
    <row r="37" spans="1:14" ht="12.75">
      <c r="A37" s="207">
        <v>0.309</v>
      </c>
      <c r="B37">
        <f t="shared" si="8"/>
        <v>0.36961545521446704</v>
      </c>
      <c r="C37">
        <f t="shared" si="9"/>
        <v>-0.43224987734904535</v>
      </c>
      <c r="H37">
        <f t="shared" si="7"/>
        <v>32</v>
      </c>
      <c r="I37">
        <f t="shared" si="0"/>
        <v>0.5080321285140562</v>
      </c>
      <c r="J37">
        <f t="shared" si="1"/>
        <v>0.020135075828875415</v>
      </c>
      <c r="K37" s="174">
        <f t="shared" si="2"/>
        <v>-0.5607380226619881</v>
      </c>
      <c r="L37" s="175">
        <f t="shared" si="3"/>
        <v>0.27495522519171295</v>
      </c>
      <c r="M37" s="38">
        <f t="shared" si="4"/>
        <v>0.321521867678173</v>
      </c>
      <c r="N37">
        <f t="shared" si="5"/>
        <v>-0.4927894840492617</v>
      </c>
    </row>
    <row r="38" spans="1:14" ht="12.75">
      <c r="A38" s="207">
        <v>0.3091</v>
      </c>
      <c r="B38">
        <f t="shared" si="8"/>
        <v>0.3697601834873877</v>
      </c>
      <c r="C38">
        <f t="shared" si="9"/>
        <v>-0.4320798563534443</v>
      </c>
      <c r="H38">
        <f t="shared" si="7"/>
        <v>33</v>
      </c>
      <c r="I38">
        <f t="shared" si="0"/>
        <v>0.5240963855421686</v>
      </c>
      <c r="J38">
        <f t="shared" si="1"/>
        <v>0.0604370598011883</v>
      </c>
      <c r="K38" s="174">
        <f t="shared" si="2"/>
        <v>-0.5570294117438832</v>
      </c>
      <c r="L38" s="175">
        <f t="shared" si="3"/>
        <v>0.27731322933347213</v>
      </c>
      <c r="M38" s="38">
        <f t="shared" si="4"/>
        <v>0.3247793862896565</v>
      </c>
      <c r="N38">
        <f t="shared" si="5"/>
        <v>-0.4884115431770207</v>
      </c>
    </row>
    <row r="39" spans="1:14" ht="12.75">
      <c r="A39" s="207">
        <v>0.2822</v>
      </c>
      <c r="B39">
        <f t="shared" si="8"/>
        <v>0.3315643002686302</v>
      </c>
      <c r="C39">
        <f t="shared" si="9"/>
        <v>-0.4794322363575376</v>
      </c>
      <c r="H39">
        <f t="shared" si="7"/>
        <v>34</v>
      </c>
      <c r="I39">
        <f t="shared" si="0"/>
        <v>0.5401606425702812</v>
      </c>
      <c r="J39">
        <f t="shared" si="1"/>
        <v>0.10083795132231899</v>
      </c>
      <c r="K39" s="174">
        <f t="shared" si="2"/>
        <v>-0.5533116992982783</v>
      </c>
      <c r="L39" s="175">
        <f t="shared" si="3"/>
        <v>0.2796973171838343</v>
      </c>
      <c r="M39" s="38">
        <f t="shared" si="4"/>
        <v>0.32808376251210164</v>
      </c>
      <c r="N39">
        <f t="shared" si="5"/>
        <v>-0.48401526313999954</v>
      </c>
    </row>
    <row r="40" spans="1:14" ht="12.75">
      <c r="A40" s="207">
        <v>0.2591</v>
      </c>
      <c r="B40">
        <f t="shared" si="8"/>
        <v>0.2998896155595258</v>
      </c>
      <c r="C40">
        <f t="shared" si="9"/>
        <v>-0.5230385725308302</v>
      </c>
      <c r="H40">
        <f t="shared" si="7"/>
        <v>35</v>
      </c>
      <c r="I40">
        <f t="shared" si="0"/>
        <v>0.5562248995983936</v>
      </c>
      <c r="J40">
        <f t="shared" si="1"/>
        <v>0.14140482562652323</v>
      </c>
      <c r="K40" s="174">
        <f t="shared" si="2"/>
        <v>-0.5495787130249148</v>
      </c>
      <c r="L40" s="175">
        <f t="shared" si="3"/>
        <v>0.28211182275863</v>
      </c>
      <c r="M40" s="38">
        <f t="shared" si="4"/>
        <v>0.33144146406662106</v>
      </c>
      <c r="N40">
        <f t="shared" si="5"/>
        <v>-0.47959316130929697</v>
      </c>
    </row>
    <row r="41" spans="1:14" ht="12.75">
      <c r="A41" s="207">
        <v>0.2379</v>
      </c>
      <c r="B41">
        <f t="shared" si="8"/>
        <v>0.27167749831006527</v>
      </c>
      <c r="C41">
        <f t="shared" si="9"/>
        <v>-0.5659463305348469</v>
      </c>
      <c r="H41">
        <f t="shared" si="7"/>
        <v>36</v>
      </c>
      <c r="I41">
        <f t="shared" si="0"/>
        <v>0.572289156626506</v>
      </c>
      <c r="J41">
        <f t="shared" si="1"/>
        <v>0.182205894816434</v>
      </c>
      <c r="K41" s="174">
        <f t="shared" si="2"/>
        <v>-0.5458241760082754</v>
      </c>
      <c r="L41" s="175">
        <f t="shared" si="3"/>
        <v>0.28456129198202873</v>
      </c>
      <c r="M41" s="38">
        <f t="shared" si="4"/>
        <v>0.3348593468024179</v>
      </c>
      <c r="N41">
        <f t="shared" si="5"/>
        <v>-0.4751375742608444</v>
      </c>
    </row>
    <row r="42" spans="1:14" ht="12.75">
      <c r="A42" s="207">
        <v>0.2264</v>
      </c>
      <c r="B42">
        <f t="shared" si="8"/>
        <v>0.2567003348430524</v>
      </c>
      <c r="C42">
        <f t="shared" si="9"/>
        <v>-0.59057356482916</v>
      </c>
      <c r="H42">
        <f t="shared" si="7"/>
        <v>37</v>
      </c>
      <c r="I42">
        <f t="shared" si="0"/>
        <v>0.5883534136546185</v>
      </c>
      <c r="J42">
        <f t="shared" si="1"/>
        <v>0.22331164473143872</v>
      </c>
      <c r="K42" s="174">
        <f t="shared" si="2"/>
        <v>-0.5420416021023255</v>
      </c>
      <c r="L42" s="175">
        <f t="shared" si="3"/>
        <v>0.28705055962893883</v>
      </c>
      <c r="M42" s="38">
        <f t="shared" si="4"/>
        <v>0.33834477220268466</v>
      </c>
      <c r="N42">
        <f t="shared" si="5"/>
        <v>-0.4706405294540945</v>
      </c>
    </row>
    <row r="43" spans="1:14" ht="12.75">
      <c r="A43" s="207">
        <v>0.217</v>
      </c>
      <c r="B43">
        <f t="shared" si="8"/>
        <v>0.24462258299133394</v>
      </c>
      <c r="C43">
        <f t="shared" si="9"/>
        <v>-0.6115034523864192</v>
      </c>
      <c r="H43">
        <f t="shared" si="7"/>
        <v>38</v>
      </c>
      <c r="I43">
        <f t="shared" si="0"/>
        <v>0.6044176706827309</v>
      </c>
      <c r="J43">
        <f t="shared" si="1"/>
        <v>0.26479938242118806</v>
      </c>
      <c r="K43" s="174">
        <f t="shared" si="2"/>
        <v>-0.5382238774694792</v>
      </c>
      <c r="L43" s="175">
        <f t="shared" si="3"/>
        <v>0.28958504008941083</v>
      </c>
      <c r="M43" s="38">
        <f t="shared" si="4"/>
        <v>0.3419060290932038</v>
      </c>
      <c r="N43">
        <f t="shared" si="5"/>
        <v>-0.4660932408857013</v>
      </c>
    </row>
    <row r="44" spans="1:14" ht="12.75">
      <c r="A44" s="207">
        <v>0.167</v>
      </c>
      <c r="B44">
        <f t="shared" si="8"/>
        <v>0.18272163681529444</v>
      </c>
      <c r="C44">
        <f t="shared" si="9"/>
        <v>-0.7382100230190406</v>
      </c>
      <c r="H44">
        <f t="shared" si="7"/>
        <v>39</v>
      </c>
      <c r="I44">
        <f t="shared" si="0"/>
        <v>0.6204819277108434</v>
      </c>
      <c r="J44">
        <f t="shared" si="1"/>
        <v>0.30674755180370994</v>
      </c>
      <c r="K44" s="174">
        <f t="shared" si="2"/>
        <v>-0.5343637836568915</v>
      </c>
      <c r="L44" s="175">
        <f t="shared" si="3"/>
        <v>0.29217040081563694</v>
      </c>
      <c r="M44" s="38">
        <f t="shared" si="4"/>
        <v>0.3455518933744156</v>
      </c>
      <c r="N44">
        <f t="shared" si="5"/>
        <v>-0.46148672306888555</v>
      </c>
    </row>
    <row r="45" spans="1:14" ht="12.75">
      <c r="A45" s="207">
        <v>0.1382</v>
      </c>
      <c r="B45">
        <f t="shared" si="8"/>
        <v>0.1487320538003994</v>
      </c>
      <c r="C45">
        <f t="shared" si="9"/>
        <v>-0.8275954249651397</v>
      </c>
      <c r="H45">
        <f t="shared" si="7"/>
        <v>40</v>
      </c>
      <c r="I45">
        <f t="shared" si="0"/>
        <v>0.6365461847389559</v>
      </c>
      <c r="J45">
        <f t="shared" si="1"/>
        <v>0.3492414180072956</v>
      </c>
      <c r="K45" s="174">
        <f t="shared" si="2"/>
        <v>-0.5304534745201658</v>
      </c>
      <c r="L45" s="175">
        <f t="shared" si="3"/>
        <v>0.29481292894678784</v>
      </c>
      <c r="M45" s="38">
        <f t="shared" si="4"/>
        <v>0.34929216235704236</v>
      </c>
      <c r="N45">
        <f t="shared" si="5"/>
        <v>-0.45681115923288346</v>
      </c>
    </row>
    <row r="46" spans="1:14" ht="12.75">
      <c r="A46" s="207">
        <v>0.4034</v>
      </c>
      <c r="B46">
        <f t="shared" si="8"/>
        <v>0.5165084069014889</v>
      </c>
      <c r="C46">
        <f t="shared" si="9"/>
        <v>-0.28692260533271835</v>
      </c>
      <c r="H46">
        <f t="shared" si="7"/>
        <v>41</v>
      </c>
      <c r="I46">
        <f t="shared" si="0"/>
        <v>0.6526104417670683</v>
      </c>
      <c r="J46">
        <f t="shared" si="1"/>
        <v>0.39237761484400835</v>
      </c>
      <c r="K46" s="174">
        <f t="shared" si="2"/>
        <v>-0.5264840577623193</v>
      </c>
      <c r="L46" s="175">
        <f t="shared" si="3"/>
        <v>0.2975198471529445</v>
      </c>
      <c r="M46" s="38">
        <f t="shared" si="4"/>
        <v>0.35313813034834646</v>
      </c>
      <c r="N46">
        <f t="shared" si="5"/>
        <v>-0.45205538664018957</v>
      </c>
    </row>
    <row r="47" spans="1:14" ht="12.75">
      <c r="A47" s="207">
        <v>0.3803</v>
      </c>
      <c r="B47">
        <f t="shared" si="8"/>
        <v>0.47851978901407544</v>
      </c>
      <c r="C47">
        <f t="shared" si="9"/>
        <v>-0.320100097423383</v>
      </c>
      <c r="H47">
        <f t="shared" si="7"/>
        <v>42</v>
      </c>
      <c r="I47">
        <f t="shared" si="0"/>
        <v>0.6686746987951807</v>
      </c>
      <c r="J47">
        <f t="shared" si="1"/>
        <v>0.4362573235994205</v>
      </c>
      <c r="K47" s="174">
        <f t="shared" si="2"/>
        <v>-0.522446222625335</v>
      </c>
      <c r="L47" s="175">
        <f t="shared" si="3"/>
        <v>0.3002989248933022</v>
      </c>
      <c r="M47" s="38">
        <f t="shared" si="4"/>
        <v>0.3571020707062444</v>
      </c>
      <c r="N47">
        <f t="shared" si="5"/>
        <v>-0.44720763148269205</v>
      </c>
    </row>
    <row r="48" spans="1:14" ht="12.75">
      <c r="A48" s="207">
        <v>0.3818</v>
      </c>
      <c r="B48">
        <f t="shared" si="8"/>
        <v>0.480943249284121</v>
      </c>
      <c r="C48">
        <f t="shared" si="9"/>
        <v>-0.31790616682122624</v>
      </c>
      <c r="H48">
        <f t="shared" si="7"/>
        <v>43</v>
      </c>
      <c r="I48">
        <f t="shared" si="0"/>
        <v>0.6847389558232931</v>
      </c>
      <c r="J48">
        <f t="shared" si="1"/>
        <v>0.4809919573744992</v>
      </c>
      <c r="K48" s="174">
        <f t="shared" si="2"/>
        <v>-0.5183297168138679</v>
      </c>
      <c r="L48" s="175">
        <f t="shared" si="3"/>
        <v>0.30315887250363416</v>
      </c>
      <c r="M48" s="38">
        <f t="shared" si="4"/>
        <v>0.36119783179821896</v>
      </c>
      <c r="N48">
        <f t="shared" si="5"/>
        <v>-0.442254865337755</v>
      </c>
    </row>
    <row r="49" spans="1:14" ht="12.75">
      <c r="A49" s="207">
        <v>0.3722</v>
      </c>
      <c r="B49">
        <f t="shared" si="8"/>
        <v>0.46553363457428387</v>
      </c>
      <c r="C49">
        <f t="shared" si="9"/>
        <v>-0.33204893598808544</v>
      </c>
      <c r="H49">
        <f t="shared" si="7"/>
        <v>44</v>
      </c>
      <c r="I49">
        <f t="shared" si="0"/>
        <v>0.7008032128514057</v>
      </c>
      <c r="J49">
        <f t="shared" si="1"/>
        <v>0.5267111191642471</v>
      </c>
      <c r="K49" s="174">
        <f t="shared" si="2"/>
        <v>-0.5141226141884352</v>
      </c>
      <c r="L49" s="175">
        <f t="shared" si="3"/>
        <v>0.30610990727947096</v>
      </c>
      <c r="M49" s="38">
        <f t="shared" si="4"/>
        <v>0.36544169885469713</v>
      </c>
      <c r="N49">
        <f t="shared" si="5"/>
        <v>-0.4371818988300678</v>
      </c>
    </row>
    <row r="50" spans="1:14" ht="12.75">
      <c r="A50" s="207">
        <v>0.3605</v>
      </c>
      <c r="B50">
        <f t="shared" si="8"/>
        <v>0.44706865796323975</v>
      </c>
      <c r="C50">
        <f t="shared" si="9"/>
        <v>-0.3496257755596869</v>
      </c>
      <c r="H50">
        <f t="shared" si="7"/>
        <v>45</v>
      </c>
      <c r="I50">
        <f t="shared" si="0"/>
        <v>0.7168674698795181</v>
      </c>
      <c r="J50">
        <f t="shared" si="1"/>
        <v>0.573561464989325</v>
      </c>
      <c r="K50" s="174">
        <f t="shared" si="2"/>
        <v>-0.5098114193806749</v>
      </c>
      <c r="L50" s="175">
        <f t="shared" si="3"/>
        <v>0.3091637601007951</v>
      </c>
      <c r="M50" s="38">
        <f t="shared" si="4"/>
        <v>0.36985247331666077</v>
      </c>
      <c r="N50">
        <f t="shared" si="5"/>
        <v>-0.4319714726922715</v>
      </c>
    </row>
    <row r="51" spans="1:14" ht="12.75">
      <c r="A51" s="207">
        <v>0.309</v>
      </c>
      <c r="B51">
        <f t="shared" si="8"/>
        <v>0.36961545521446704</v>
      </c>
      <c r="C51">
        <f t="shared" si="9"/>
        <v>-0.43224987734904535</v>
      </c>
      <c r="H51">
        <f t="shared" si="7"/>
        <v>46</v>
      </c>
      <c r="I51">
        <f t="shared" si="0"/>
        <v>0.7329317269076305</v>
      </c>
      <c r="J51">
        <f t="shared" si="1"/>
        <v>0.6217032932909206</v>
      </c>
      <c r="K51" s="174">
        <f t="shared" si="2"/>
        <v>-0.5053813816391213</v>
      </c>
      <c r="L51" s="175">
        <f t="shared" si="3"/>
        <v>0.31233353627911914</v>
      </c>
      <c r="M51" s="38">
        <f t="shared" si="4"/>
        <v>0.3744513497013638</v>
      </c>
      <c r="N51">
        <f t="shared" si="5"/>
        <v>-0.4266045996700869</v>
      </c>
    </row>
    <row r="52" spans="1:14" ht="12.75">
      <c r="A52" s="207">
        <v>0.2912</v>
      </c>
      <c r="B52">
        <f t="shared" si="8"/>
        <v>0.3441818796912659</v>
      </c>
      <c r="C52">
        <f t="shared" si="9"/>
        <v>-0.4632119979167849</v>
      </c>
      <c r="H52">
        <f t="shared" si="7"/>
        <v>47</v>
      </c>
      <c r="I52">
        <f t="shared" si="0"/>
        <v>0.748995983935743</v>
      </c>
      <c r="J52">
        <f t="shared" si="1"/>
        <v>0.671333282298292</v>
      </c>
      <c r="K52" s="174">
        <f t="shared" si="2"/>
        <v>-0.5008144025240333</v>
      </c>
      <c r="L52" s="175">
        <f t="shared" si="3"/>
        <v>0.31563532153044854</v>
      </c>
      <c r="M52" s="38">
        <f t="shared" si="4"/>
        <v>0.3792643477793279</v>
      </c>
      <c r="N52">
        <f t="shared" si="5"/>
        <v>-0.4210579806308191</v>
      </c>
    </row>
    <row r="53" spans="1:14" ht="12.75">
      <c r="A53" s="207">
        <v>0.2197</v>
      </c>
      <c r="B53">
        <f t="shared" si="8"/>
        <v>0.2480768178594215</v>
      </c>
      <c r="C53">
        <f t="shared" si="9"/>
        <v>-0.6054138175340216</v>
      </c>
      <c r="H53">
        <f t="shared" si="7"/>
        <v>48</v>
      </c>
      <c r="I53">
        <f t="shared" si="0"/>
        <v>0.7650602409638554</v>
      </c>
      <c r="J53">
        <f t="shared" si="1"/>
        <v>0.722675395081751</v>
      </c>
      <c r="K53" s="174">
        <f t="shared" si="2"/>
        <v>-0.4960898728294625</v>
      </c>
      <c r="L53" s="175">
        <f t="shared" si="3"/>
        <v>0.31908774671086654</v>
      </c>
      <c r="M53" s="38">
        <f t="shared" si="4"/>
        <v>0.3843218309301652</v>
      </c>
      <c r="N53">
        <f t="shared" si="5"/>
        <v>-0.41530494526965933</v>
      </c>
    </row>
    <row r="54" spans="1:14" ht="12.75">
      <c r="A54" s="207">
        <v>0.2097</v>
      </c>
      <c r="B54">
        <f t="shared" si="8"/>
        <v>0.2353426587712074</v>
      </c>
      <c r="C54">
        <f t="shared" si="9"/>
        <v>-0.6282993444356968</v>
      </c>
      <c r="H54">
        <f t="shared" si="7"/>
        <v>49</v>
      </c>
      <c r="I54">
        <f t="shared" si="0"/>
        <v>0.7811244979919679</v>
      </c>
      <c r="J54">
        <f t="shared" si="1"/>
        <v>0.7759967957099434</v>
      </c>
      <c r="K54" s="174">
        <f t="shared" si="2"/>
        <v>-0.49118320796963294</v>
      </c>
      <c r="L54" s="175">
        <f t="shared" si="3"/>
        <v>0.3227132462434273</v>
      </c>
      <c r="M54" s="38">
        <f t="shared" si="4"/>
        <v>0.3896605303767524</v>
      </c>
      <c r="N54">
        <f t="shared" si="5"/>
        <v>-0.4093135826797195</v>
      </c>
    </row>
    <row r="55" spans="1:14" ht="12.75">
      <c r="A55" s="207">
        <v>0.1789</v>
      </c>
      <c r="B55">
        <f t="shared" si="8"/>
        <v>0.19711037426739403</v>
      </c>
      <c r="C55">
        <f t="shared" si="9"/>
        <v>-0.7052905174328091</v>
      </c>
      <c r="H55">
        <f t="shared" si="7"/>
        <v>50</v>
      </c>
      <c r="I55">
        <f t="shared" si="0"/>
        <v>0.7971887550200804</v>
      </c>
      <c r="J55">
        <f t="shared" si="1"/>
        <v>0.8316214916703757</v>
      </c>
      <c r="K55" s="174">
        <f t="shared" si="2"/>
        <v>-0.4860645925958378</v>
      </c>
      <c r="L55" s="175">
        <f t="shared" si="3"/>
        <v>0.32653926239292336</v>
      </c>
      <c r="M55" s="38">
        <f t="shared" si="4"/>
        <v>0.3953255808858224</v>
      </c>
      <c r="N55">
        <f t="shared" si="5"/>
        <v>-0.40304508224669877</v>
      </c>
    </row>
    <row r="56" spans="1:14" ht="12.75">
      <c r="A56" s="207">
        <v>0.2173</v>
      </c>
      <c r="B56">
        <f t="shared" si="8"/>
        <v>0.24500579817134466</v>
      </c>
      <c r="C56">
        <f t="shared" si="9"/>
        <v>-0.6108236377414931</v>
      </c>
      <c r="H56">
        <f t="shared" si="7"/>
        <v>51</v>
      </c>
      <c r="I56">
        <f t="shared" si="0"/>
        <v>0.8132530120481928</v>
      </c>
      <c r="J56">
        <f t="shared" si="1"/>
        <v>0.8899473868950736</v>
      </c>
      <c r="K56" s="174">
        <f t="shared" si="2"/>
        <v>-0.4806974113675598</v>
      </c>
      <c r="L56" s="175">
        <f t="shared" si="3"/>
        <v>0.33059980162003955</v>
      </c>
      <c r="M56" s="38">
        <f t="shared" si="4"/>
        <v>0.4013731938500691</v>
      </c>
      <c r="N56">
        <f t="shared" si="5"/>
        <v>-0.3964516357143563</v>
      </c>
    </row>
    <row r="57" spans="1:14" ht="12.75">
      <c r="A57" s="207">
        <v>0.2384</v>
      </c>
      <c r="B57">
        <f t="shared" si="8"/>
        <v>0.27233379550498144</v>
      </c>
      <c r="C57">
        <f t="shared" si="9"/>
        <v>-0.5648984611550824</v>
      </c>
      <c r="H57">
        <f t="shared" si="7"/>
        <v>52</v>
      </c>
      <c r="I57">
        <f t="shared" si="0"/>
        <v>0.8293172690763052</v>
      </c>
      <c r="J57">
        <f t="shared" si="1"/>
        <v>0.9514701559965033</v>
      </c>
      <c r="K57" s="174">
        <f t="shared" si="2"/>
        <v>-0.4750360520320403</v>
      </c>
      <c r="L57" s="175">
        <f t="shared" si="3"/>
        <v>0.3349376338689682</v>
      </c>
      <c r="M57" s="38">
        <f t="shared" si="4"/>
        <v>0.4078744590680081</v>
      </c>
      <c r="N57">
        <f t="shared" si="5"/>
        <v>-0.3894734891744884</v>
      </c>
    </row>
    <row r="58" spans="1:14" ht="12.75">
      <c r="A58" s="207">
        <v>0.2386</v>
      </c>
      <c r="B58">
        <f t="shared" si="8"/>
        <v>0.2725964350337401</v>
      </c>
      <c r="C58">
        <f t="shared" si="9"/>
        <v>-0.564479828087914</v>
      </c>
      <c r="H58">
        <f t="shared" si="7"/>
        <v>53</v>
      </c>
      <c r="I58">
        <f t="shared" si="0"/>
        <v>0.8453815261044176</v>
      </c>
      <c r="J58">
        <f t="shared" si="1"/>
        <v>1.0168241715291515</v>
      </c>
      <c r="K58" s="174">
        <f t="shared" si="2"/>
        <v>-0.46902213927496894</v>
      </c>
      <c r="L58" s="175">
        <f t="shared" si="3"/>
        <v>0.33960795976245123</v>
      </c>
      <c r="M58" s="38">
        <f t="shared" si="4"/>
        <v>0.4149216199501268</v>
      </c>
      <c r="N58">
        <f t="shared" si="5"/>
        <v>-0.38203393518690637</v>
      </c>
    </row>
    <row r="59" spans="1:14" ht="12.75">
      <c r="A59" s="207">
        <v>0.2388</v>
      </c>
      <c r="B59">
        <f t="shared" si="8"/>
        <v>0.2728591435601426</v>
      </c>
      <c r="C59">
        <f t="shared" si="9"/>
        <v>-0.5640614883489322</v>
      </c>
      <c r="H59">
        <f t="shared" si="7"/>
        <v>54</v>
      </c>
      <c r="I59">
        <f t="shared" si="0"/>
        <v>0.8614457831325302</v>
      </c>
      <c r="J59">
        <f t="shared" si="1"/>
        <v>1.0868370736716315</v>
      </c>
      <c r="K59" s="174">
        <f t="shared" si="2"/>
        <v>-0.46257951318806984</v>
      </c>
      <c r="L59" s="175">
        <f t="shared" si="3"/>
        <v>0.34468349411445126</v>
      </c>
      <c r="M59" s="38">
        <f t="shared" si="4"/>
        <v>0.4226369449652609</v>
      </c>
      <c r="N59">
        <f t="shared" si="5"/>
        <v>-0.37403254161111454</v>
      </c>
    </row>
    <row r="60" spans="1:14" ht="12.75">
      <c r="A60" s="207">
        <v>0.237</v>
      </c>
      <c r="B60">
        <f t="shared" si="8"/>
        <v>0.27049724769768</v>
      </c>
      <c r="C60">
        <f t="shared" si="9"/>
        <v>-0.5678371494697637</v>
      </c>
      <c r="H60">
        <f t="shared" si="7"/>
        <v>55</v>
      </c>
      <c r="I60">
        <f t="shared" si="0"/>
        <v>0.8775100401606426</v>
      </c>
      <c r="J60">
        <f t="shared" si="1"/>
        <v>1.1626298146438785</v>
      </c>
      <c r="K60" s="174">
        <f t="shared" si="2"/>
        <v>-0.45560502312634293</v>
      </c>
      <c r="L60" s="175">
        <f t="shared" si="3"/>
        <v>0.35026357568027855</v>
      </c>
      <c r="M60" s="38">
        <f t="shared" si="4"/>
        <v>0.43118849937681847</v>
      </c>
      <c r="N60">
        <f t="shared" si="5"/>
        <v>-0.36533283113252857</v>
      </c>
    </row>
    <row r="61" spans="1:14" ht="12.75">
      <c r="A61" s="207">
        <v>0.2523</v>
      </c>
      <c r="B61">
        <f t="shared" si="8"/>
        <v>0.29075345097626715</v>
      </c>
      <c r="C61">
        <f t="shared" si="9"/>
        <v>-0.5364751218925298</v>
      </c>
      <c r="H61">
        <f t="shared" si="7"/>
        <v>56</v>
      </c>
      <c r="I61">
        <f t="shared" si="0"/>
        <v>0.893574297188755</v>
      </c>
      <c r="J61">
        <f t="shared" si="1"/>
        <v>1.245762177859433</v>
      </c>
      <c r="K61" s="174">
        <f t="shared" si="2"/>
        <v>-0.4479551369549606</v>
      </c>
      <c r="L61" s="175">
        <f t="shared" si="3"/>
        <v>0.35648795707912495</v>
      </c>
      <c r="M61" s="38">
        <f t="shared" si="4"/>
        <v>0.44081453740331933</v>
      </c>
      <c r="N61">
        <f t="shared" si="5"/>
        <v>-0.355744091538448</v>
      </c>
    </row>
    <row r="62" spans="1:14" ht="12.75">
      <c r="A62" s="207">
        <v>0.2598</v>
      </c>
      <c r="B62">
        <f t="shared" si="8"/>
        <v>0.3008348590300815</v>
      </c>
      <c r="C62">
        <f t="shared" si="9"/>
        <v>-0.5216718415934952</v>
      </c>
      <c r="H62">
        <f t="shared" si="7"/>
        <v>57</v>
      </c>
      <c r="I62">
        <f t="shared" si="0"/>
        <v>0.9096385542168675</v>
      </c>
      <c r="J62">
        <f t="shared" si="1"/>
        <v>1.338532911177026</v>
      </c>
      <c r="K62" s="174">
        <f t="shared" si="2"/>
        <v>-0.4394183226209917</v>
      </c>
      <c r="L62" s="175">
        <f t="shared" si="3"/>
        <v>0.3635646734033401</v>
      </c>
      <c r="M62" s="38">
        <f t="shared" si="4"/>
        <v>0.4518724740078114</v>
      </c>
      <c r="N62">
        <f t="shared" si="5"/>
        <v>-0.34498411308484633</v>
      </c>
    </row>
    <row r="63" spans="1:14" ht="12.75">
      <c r="A63" s="207">
        <v>0.2713</v>
      </c>
      <c r="B63">
        <f t="shared" si="8"/>
        <v>0.3164931543059005</v>
      </c>
      <c r="C63">
        <f t="shared" si="9"/>
        <v>-0.49963567926218766</v>
      </c>
      <c r="H63">
        <f t="shared" si="7"/>
        <v>58</v>
      </c>
      <c r="I63">
        <f t="shared" si="0"/>
        <v>0.9257028112449799</v>
      </c>
      <c r="J63">
        <f t="shared" si="1"/>
        <v>1.444514055037871</v>
      </c>
      <c r="K63" s="174">
        <f t="shared" si="2"/>
        <v>-0.4296658789818498</v>
      </c>
      <c r="L63" s="175">
        <f t="shared" si="3"/>
        <v>0.37182117676318405</v>
      </c>
      <c r="M63" s="38">
        <f t="shared" si="4"/>
        <v>0.4649304026705371</v>
      </c>
      <c r="N63">
        <f t="shared" si="5"/>
        <v>-0.33261205355807827</v>
      </c>
    </row>
    <row r="64" spans="1:14" ht="12.75">
      <c r="A64" s="207">
        <v>0.3097</v>
      </c>
      <c r="B64">
        <f t="shared" si="8"/>
        <v>0.3706289932727071</v>
      </c>
      <c r="C64">
        <f t="shared" si="9"/>
        <v>-0.431060610041858</v>
      </c>
      <c r="H64">
        <f t="shared" si="7"/>
        <v>59</v>
      </c>
      <c r="I64">
        <f t="shared" si="0"/>
        <v>0.9417670682730924</v>
      </c>
      <c r="J64">
        <f t="shared" si="1"/>
        <v>1.5697833077865653</v>
      </c>
      <c r="K64" s="174">
        <f t="shared" si="2"/>
        <v>-0.41813853286494873</v>
      </c>
      <c r="L64" s="175">
        <f t="shared" si="3"/>
        <v>0.38182245626909217</v>
      </c>
      <c r="M64" s="38">
        <f t="shared" si="4"/>
        <v>0.48097957519315837</v>
      </c>
      <c r="N64">
        <f t="shared" si="5"/>
        <v>-0.31787336555806645</v>
      </c>
    </row>
    <row r="65" spans="1:14" ht="12.75">
      <c r="A65" s="207">
        <v>0.3098</v>
      </c>
      <c r="B65">
        <f t="shared" si="8"/>
        <v>0.3707738683182341</v>
      </c>
      <c r="C65">
        <f t="shared" si="9"/>
        <v>-0.43089088198468894</v>
      </c>
      <c r="H65">
        <f t="shared" si="7"/>
        <v>60</v>
      </c>
      <c r="I65">
        <f t="shared" si="0"/>
        <v>0.9578313253012049</v>
      </c>
      <c r="J65">
        <f t="shared" si="1"/>
        <v>1.7260572349186987</v>
      </c>
      <c r="K65" s="174">
        <f t="shared" si="2"/>
        <v>-0.403758119414943</v>
      </c>
      <c r="L65" s="175">
        <f t="shared" si="3"/>
        <v>0.3946770565084596</v>
      </c>
      <c r="M65" s="38">
        <f t="shared" si="4"/>
        <v>0.5019931724718696</v>
      </c>
      <c r="N65">
        <f t="shared" si="5"/>
        <v>-0.29930218958397725</v>
      </c>
    </row>
    <row r="66" spans="1:14" ht="12.75">
      <c r="A66" s="207">
        <v>0.2984</v>
      </c>
      <c r="B66">
        <f t="shared" si="8"/>
        <v>0.35439183792416373</v>
      </c>
      <c r="C66">
        <f t="shared" si="9"/>
        <v>-0.4505162890008902</v>
      </c>
      <c r="H66">
        <f t="shared" si="7"/>
        <v>61</v>
      </c>
      <c r="I66">
        <f t="shared" si="0"/>
        <v>0.9738955823293173</v>
      </c>
      <c r="J66">
        <f t="shared" si="1"/>
        <v>1.9414073904044926</v>
      </c>
      <c r="K66" s="174">
        <f t="shared" si="2"/>
        <v>-0.3839414786659696</v>
      </c>
      <c r="L66" s="175">
        <f t="shared" si="3"/>
        <v>0.41310316403633895</v>
      </c>
      <c r="M66" s="38">
        <f t="shared" si="4"/>
        <v>0.5329062225319525</v>
      </c>
      <c r="N66">
        <f t="shared" si="5"/>
        <v>-0.2733492086472231</v>
      </c>
    </row>
    <row r="67" spans="1:14" ht="12.75">
      <c r="A67" s="207">
        <v>0.3004</v>
      </c>
      <c r="B67">
        <f t="shared" si="8"/>
        <v>0.35724653583769</v>
      </c>
      <c r="C67">
        <f t="shared" si="9"/>
        <v>-0.44703197380044885</v>
      </c>
      <c r="H67">
        <f t="shared" si="7"/>
        <v>62</v>
      </c>
      <c r="I67">
        <f t="shared" si="0"/>
        <v>0.9899598393574297</v>
      </c>
      <c r="J67">
        <f t="shared" si="1"/>
        <v>2.324850356671959</v>
      </c>
      <c r="K67" s="174">
        <f t="shared" si="2"/>
        <v>-0.34865684423836935</v>
      </c>
      <c r="L67" s="175">
        <f t="shared" si="3"/>
        <v>0.4480672025550632</v>
      </c>
      <c r="M67" s="38">
        <f t="shared" si="4"/>
        <v>0.5943289838755872</v>
      </c>
      <c r="N67">
        <f t="shared" si="5"/>
        <v>-0.22597308981532913</v>
      </c>
    </row>
    <row r="68" spans="1:3" ht="12.75">
      <c r="A68" s="207">
        <v>0.2908</v>
      </c>
      <c r="B68">
        <f t="shared" si="8"/>
        <v>0.3436177047820842</v>
      </c>
      <c r="C68">
        <f t="shared" si="9"/>
        <v>-0.4639244673929773</v>
      </c>
    </row>
    <row r="69" spans="1:3" ht="12.75">
      <c r="A69" s="207">
        <v>0.2812</v>
      </c>
      <c r="B69">
        <f t="shared" si="8"/>
        <v>0.3301721240727331</v>
      </c>
      <c r="C69">
        <f t="shared" si="9"/>
        <v>-0.4812595963440803</v>
      </c>
    </row>
    <row r="70" spans="1:3" ht="12.75">
      <c r="A70" s="207">
        <v>0.3196</v>
      </c>
      <c r="B70">
        <f t="shared" si="8"/>
        <v>0.38507441846043033</v>
      </c>
      <c r="C70">
        <f t="shared" si="9"/>
        <v>-0.41445533178105143</v>
      </c>
    </row>
    <row r="71" spans="1:3" ht="12.75">
      <c r="A71" s="207">
        <v>0.3312</v>
      </c>
      <c r="B71">
        <f t="shared" si="8"/>
        <v>0.4022702172116451</v>
      </c>
      <c r="C71">
        <f t="shared" si="9"/>
        <v>-0.3954821200000555</v>
      </c>
    </row>
    <row r="72" spans="1:3" ht="12.75">
      <c r="A72" s="207">
        <v>0.3331</v>
      </c>
      <c r="B72">
        <f t="shared" si="8"/>
        <v>0.4051151693438764</v>
      </c>
      <c r="C72">
        <f t="shared" si="9"/>
        <v>-0.39242149456265585</v>
      </c>
    </row>
    <row r="73" spans="1:3" ht="12.75">
      <c r="A73" s="207">
        <v>0.3715</v>
      </c>
      <c r="B73">
        <f t="shared" si="8"/>
        <v>0.4644192509518349</v>
      </c>
      <c r="C73">
        <f t="shared" si="9"/>
        <v>-0.33308978633038266</v>
      </c>
    </row>
    <row r="74" spans="1:3" ht="12.75">
      <c r="A74" s="207">
        <v>0.3618</v>
      </c>
      <c r="B74">
        <f t="shared" si="8"/>
        <v>0.449103565137994</v>
      </c>
      <c r="C74">
        <f t="shared" si="9"/>
        <v>-0.34765349734518447</v>
      </c>
    </row>
    <row r="75" spans="1:3" ht="12.75">
      <c r="A75" s="207">
        <v>0.3503</v>
      </c>
      <c r="B75">
        <f t="shared" si="8"/>
        <v>0.4312445610956518</v>
      </c>
      <c r="C75">
        <f t="shared" si="9"/>
        <v>-0.36527636925441764</v>
      </c>
    </row>
    <row r="76" spans="1:3" ht="12.75">
      <c r="A76" s="207">
        <v>0.3616</v>
      </c>
      <c r="B76">
        <f t="shared" si="8"/>
        <v>0.44879023284653796</v>
      </c>
      <c r="C76">
        <f t="shared" si="9"/>
        <v>-0.3479566033272295</v>
      </c>
    </row>
    <row r="77" spans="1:3" ht="12.75">
      <c r="A77" s="207">
        <v>0.3424</v>
      </c>
      <c r="B77">
        <f t="shared" si="8"/>
        <v>0.4191584352401669</v>
      </c>
      <c r="C77">
        <f t="shared" si="9"/>
        <v>-0.3776217895758923</v>
      </c>
    </row>
    <row r="78" spans="1:3" ht="12.75">
      <c r="A78" s="207">
        <v>0.472</v>
      </c>
      <c r="B78">
        <f t="shared" si="8"/>
        <v>0.6386589952758756</v>
      </c>
      <c r="C78">
        <f t="shared" si="9"/>
        <v>-0.19473096656800068</v>
      </c>
    </row>
    <row r="79" spans="1:3" ht="12.75">
      <c r="A79" s="207">
        <v>0.472</v>
      </c>
      <c r="B79">
        <f t="shared" si="8"/>
        <v>0.6386589952758756</v>
      </c>
      <c r="C79">
        <f t="shared" si="9"/>
        <v>-0.19473096656800068</v>
      </c>
    </row>
    <row r="80" spans="1:3" ht="12.75">
      <c r="A80" s="207">
        <v>0.252</v>
      </c>
      <c r="B80">
        <f t="shared" si="8"/>
        <v>0.2903523010076598</v>
      </c>
      <c r="C80">
        <f t="shared" si="9"/>
        <v>-0.5370747278845929</v>
      </c>
    </row>
    <row r="81" spans="1:3" ht="12.75">
      <c r="A81" s="207">
        <v>0.2519</v>
      </c>
      <c r="B81">
        <f t="shared" si="8"/>
        <v>0.29021862010377786</v>
      </c>
      <c r="C81">
        <f t="shared" si="9"/>
        <v>-0.5372747271536111</v>
      </c>
    </row>
    <row r="82" spans="1:3" ht="12.75">
      <c r="A82" s="207">
        <v>0.2519</v>
      </c>
      <c r="B82">
        <f t="shared" si="8"/>
        <v>0.29021862010377786</v>
      </c>
      <c r="C82">
        <f t="shared" si="9"/>
        <v>-0.5372747271536111</v>
      </c>
    </row>
    <row r="83" spans="1:3" ht="12.75">
      <c r="A83" s="207">
        <v>0.2518</v>
      </c>
      <c r="B83">
        <f t="shared" si="8"/>
        <v>0.2900849570680913</v>
      </c>
      <c r="C83">
        <f t="shared" si="9"/>
        <v>-0.5374747918168089</v>
      </c>
    </row>
    <row r="84" spans="1:3" ht="12.75">
      <c r="A84" s="207">
        <v>0.2518</v>
      </c>
      <c r="B84">
        <f t="shared" si="8"/>
        <v>0.2900849570680913</v>
      </c>
      <c r="C84">
        <f t="shared" si="9"/>
        <v>-0.5374747918168089</v>
      </c>
    </row>
    <row r="85" spans="1:3" ht="12.75">
      <c r="A85" s="207">
        <v>0.269</v>
      </c>
      <c r="B85">
        <f t="shared" si="8"/>
        <v>0.3133418192323586</v>
      </c>
      <c r="C85">
        <f t="shared" si="9"/>
        <v>-0.5039816394309745</v>
      </c>
    </row>
    <row r="86" spans="1:3" ht="12.75">
      <c r="A86" s="207">
        <v>0.269</v>
      </c>
      <c r="B86">
        <f t="shared" si="8"/>
        <v>0.3133418192323586</v>
      </c>
      <c r="C86">
        <f t="shared" si="9"/>
        <v>-0.5039816394309745</v>
      </c>
    </row>
    <row r="87" spans="1:3" ht="12.75">
      <c r="A87" s="207">
        <v>0.29</v>
      </c>
      <c r="B87">
        <f t="shared" si="8"/>
        <v>0.342490308946776</v>
      </c>
      <c r="C87">
        <f t="shared" si="9"/>
        <v>-0.46535171272771275</v>
      </c>
    </row>
    <row r="88" spans="1:3" ht="12.75">
      <c r="A88" s="207">
        <v>0.2806</v>
      </c>
      <c r="B88">
        <f t="shared" si="8"/>
        <v>0.32933774772061347</v>
      </c>
      <c r="C88">
        <f t="shared" si="9"/>
        <v>-0.48235848888348726</v>
      </c>
    </row>
    <row r="89" spans="1:3" ht="12.75">
      <c r="A89" s="207">
        <v>0.3094</v>
      </c>
      <c r="B89">
        <f t="shared" si="8"/>
        <v>0.37019449402624505</v>
      </c>
      <c r="C89">
        <f t="shared" si="9"/>
        <v>-0.43157004488025585</v>
      </c>
    </row>
    <row r="90" spans="1:3" ht="12.75">
      <c r="A90" s="207">
        <v>0.3094</v>
      </c>
      <c r="B90">
        <f t="shared" si="8"/>
        <v>0.37019449402624505</v>
      </c>
      <c r="C90">
        <f t="shared" si="9"/>
        <v>-0.43157004488025585</v>
      </c>
    </row>
    <row r="91" spans="1:3" ht="12.75">
      <c r="A91" s="207">
        <v>0.2999</v>
      </c>
      <c r="B91">
        <f t="shared" si="8"/>
        <v>0.35653209699898525</v>
      </c>
      <c r="C91">
        <f t="shared" si="9"/>
        <v>-0.44790136645147527</v>
      </c>
    </row>
    <row r="92" spans="1:3" ht="12.75">
      <c r="A92" s="207">
        <v>0.3325</v>
      </c>
      <c r="B92">
        <f t="shared" si="8"/>
        <v>0.4042158887077324</v>
      </c>
      <c r="C92">
        <f t="shared" si="9"/>
        <v>-0.39338661946378073</v>
      </c>
    </row>
    <row r="93" spans="1:3" ht="12.75">
      <c r="A93" s="207">
        <v>0.2904</v>
      </c>
      <c r="B93">
        <f t="shared" si="8"/>
        <v>0.34305384798676725</v>
      </c>
      <c r="C93">
        <f t="shared" si="9"/>
        <v>-0.46463770489012285</v>
      </c>
    </row>
    <row r="94" spans="2:3" ht="12.75">
      <c r="B94" s="1"/>
      <c r="C94" s="1">
        <f>STDEV(C33:C93)</f>
        <v>0.12681026294930517</v>
      </c>
    </row>
    <row r="95" spans="1:2" ht="12.75">
      <c r="A95" t="s">
        <v>598</v>
      </c>
      <c r="B95" t="s">
        <v>598</v>
      </c>
    </row>
    <row r="96" spans="1:2" ht="12.75">
      <c r="A96" s="208">
        <f>AVERAGE(A33:A93)</f>
        <v>0.28734754098360654</v>
      </c>
      <c r="B96" s="208">
        <f>AVERAGE(B33:B93)</f>
        <v>0.3433729343325756</v>
      </c>
    </row>
    <row r="97" spans="1:2" ht="12.75">
      <c r="A97" t="s">
        <v>170</v>
      </c>
      <c r="B97" t="s">
        <v>170</v>
      </c>
    </row>
    <row r="98" spans="1:2" ht="12.75">
      <c r="A98" s="2">
        <f>STDEV(A33:A93)</f>
        <v>0.06775172225746362</v>
      </c>
      <c r="B98" s="2">
        <f>STDEV(B33:B93)</f>
        <v>0.09789322371734621</v>
      </c>
    </row>
    <row r="99" spans="1:2" ht="12.75">
      <c r="A99" t="s">
        <v>139</v>
      </c>
      <c r="B99" t="s">
        <v>139</v>
      </c>
    </row>
    <row r="100" spans="1:2" ht="12.75">
      <c r="A100" s="208">
        <f>MEDIAN(A33:A93)</f>
        <v>0.29</v>
      </c>
      <c r="B100" s="208">
        <f>MEDIAN(B33:B93)</f>
        <v>0.342490308946776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J1">
      <selection activeCell="L41" sqref="L41"/>
    </sheetView>
  </sheetViews>
  <sheetFormatPr defaultColWidth="11.00390625" defaultRowHeight="12"/>
  <sheetData>
    <row r="1" ht="18.75">
      <c r="A1" s="31" t="s">
        <v>407</v>
      </c>
    </row>
    <row r="2" spans="1:10" ht="18.75">
      <c r="A2" s="80" t="s">
        <v>183</v>
      </c>
      <c r="J2" s="80" t="s">
        <v>587</v>
      </c>
    </row>
    <row r="3" spans="1:18" ht="12.75">
      <c r="A3" s="81" t="s">
        <v>412</v>
      </c>
      <c r="B3" s="49" t="s">
        <v>208</v>
      </c>
      <c r="J3" s="81" t="s">
        <v>412</v>
      </c>
      <c r="K3" s="49" t="s">
        <v>208</v>
      </c>
      <c r="R3" s="197" t="s">
        <v>296</v>
      </c>
    </row>
    <row r="4" spans="1:22" ht="12.75">
      <c r="A4" t="s">
        <v>127</v>
      </c>
      <c r="B4" t="s">
        <v>413</v>
      </c>
      <c r="C4" t="s">
        <v>414</v>
      </c>
      <c r="F4" t="s">
        <v>207</v>
      </c>
      <c r="J4" t="s">
        <v>127</v>
      </c>
      <c r="K4" t="s">
        <v>413</v>
      </c>
      <c r="L4" t="s">
        <v>414</v>
      </c>
      <c r="O4" t="s">
        <v>207</v>
      </c>
      <c r="R4" t="s">
        <v>374</v>
      </c>
      <c r="S4">
        <v>0.3336</v>
      </c>
      <c r="T4">
        <f>S4^2</f>
        <v>0.11128896</v>
      </c>
      <c r="U4">
        <v>4</v>
      </c>
      <c r="V4">
        <f>U4*T4</f>
        <v>0.44515584</v>
      </c>
    </row>
    <row r="5" spans="1:22" ht="12.75">
      <c r="A5" t="s">
        <v>408</v>
      </c>
      <c r="B5">
        <v>8.8</v>
      </c>
      <c r="C5">
        <v>0.14</v>
      </c>
      <c r="F5" s="3">
        <f>LOG10(C5)</f>
        <v>-0.8538719643217619</v>
      </c>
      <c r="J5" t="s">
        <v>408</v>
      </c>
      <c r="K5">
        <v>8.8</v>
      </c>
      <c r="L5">
        <f>-LN(1-C5)</f>
        <v>0.15082288973458366</v>
      </c>
      <c r="O5" s="3">
        <f>LOG10(L5)</f>
        <v>-0.8215327424779075</v>
      </c>
      <c r="R5" t="s">
        <v>295</v>
      </c>
      <c r="S5">
        <v>0.295</v>
      </c>
      <c r="T5">
        <f>S5^2</f>
        <v>0.08702499999999999</v>
      </c>
      <c r="U5">
        <v>4</v>
      </c>
      <c r="V5">
        <f>U5*T5</f>
        <v>0.34809999999999997</v>
      </c>
    </row>
    <row r="6" spans="1:22" ht="12.75">
      <c r="A6" t="s">
        <v>409</v>
      </c>
      <c r="B6">
        <v>9.6</v>
      </c>
      <c r="C6">
        <v>0.13</v>
      </c>
      <c r="D6" s="82" t="s">
        <v>598</v>
      </c>
      <c r="E6" s="82" t="s">
        <v>126</v>
      </c>
      <c r="F6" s="3">
        <f>LOG10(C6)</f>
        <v>-0.8860566476931632</v>
      </c>
      <c r="J6" t="s">
        <v>409</v>
      </c>
      <c r="K6">
        <v>9.6</v>
      </c>
      <c r="L6">
        <f>-LN(1-C6)</f>
        <v>0.13926206733350766</v>
      </c>
      <c r="M6" s="82" t="s">
        <v>598</v>
      </c>
      <c r="N6" s="82" t="s">
        <v>126</v>
      </c>
      <c r="O6" s="3">
        <f>LOG10(L6)</f>
        <v>-0.8561671620480555</v>
      </c>
      <c r="U6">
        <v>8</v>
      </c>
      <c r="V6">
        <f>SUM(V4:V5)</f>
        <v>0.79325584</v>
      </c>
    </row>
    <row r="7" spans="1:19" ht="12.75">
      <c r="A7" t="s">
        <v>424</v>
      </c>
      <c r="B7">
        <v>6.5</v>
      </c>
      <c r="C7">
        <v>0.54</v>
      </c>
      <c r="D7" s="45">
        <f>AVERAGE(C5:C9)</f>
        <v>0.304</v>
      </c>
      <c r="E7" s="45">
        <f>EXP(SQRT(LN(POWER(D9,2)/POWER(D7,2)+1)))</f>
        <v>1.729277835912007</v>
      </c>
      <c r="F7" s="3">
        <f>LOG10(C7)</f>
        <v>-0.2676062401770315</v>
      </c>
      <c r="J7" t="s">
        <v>424</v>
      </c>
      <c r="K7">
        <v>6.5</v>
      </c>
      <c r="L7">
        <f>-LN(1-C7)</f>
        <v>0.7765287894989965</v>
      </c>
      <c r="M7" s="45">
        <f>AVERAGE(L5:L9)</f>
        <v>0.391447346338533</v>
      </c>
      <c r="N7" s="45">
        <f>EXP(SQRT(LN(POWER(M9,2)/POWER(M7,2)+1)))</f>
        <v>1.8845426567323358</v>
      </c>
      <c r="O7" s="3">
        <f>LOG10(L7)</f>
        <v>-0.1098424383400924</v>
      </c>
      <c r="S7" s="198"/>
    </row>
    <row r="8" spans="1:22" ht="12.75">
      <c r="A8" t="s">
        <v>410</v>
      </c>
      <c r="B8">
        <v>8.3</v>
      </c>
      <c r="C8">
        <v>0.43</v>
      </c>
      <c r="D8" s="82" t="s">
        <v>431</v>
      </c>
      <c r="E8" s="82" t="s">
        <v>384</v>
      </c>
      <c r="F8" s="3">
        <f>LOG10(C8)</f>
        <v>-0.36653154442041347</v>
      </c>
      <c r="G8" s="82" t="s">
        <v>384</v>
      </c>
      <c r="H8" s="85" t="s">
        <v>323</v>
      </c>
      <c r="J8" t="s">
        <v>410</v>
      </c>
      <c r="K8">
        <v>8.3</v>
      </c>
      <c r="L8">
        <f>-LN(1-C8)</f>
        <v>0.5621189181535411</v>
      </c>
      <c r="M8" s="82" t="s">
        <v>431</v>
      </c>
      <c r="N8" s="82" t="s">
        <v>384</v>
      </c>
      <c r="O8" s="3">
        <f>LOG10(L8)</f>
        <v>-0.2501717982483658</v>
      </c>
      <c r="P8" s="82" t="s">
        <v>384</v>
      </c>
      <c r="Q8" s="85" t="s">
        <v>323</v>
      </c>
      <c r="V8">
        <f>SQRT(V6/U6)</f>
        <v>0.3148920132362839</v>
      </c>
    </row>
    <row r="9" spans="1:17" ht="12.75">
      <c r="A9" t="s">
        <v>411</v>
      </c>
      <c r="B9">
        <v>6.3</v>
      </c>
      <c r="C9">
        <v>0.28</v>
      </c>
      <c r="D9" s="45">
        <f>STDEV(C5:C9)</f>
        <v>0.17980545041794482</v>
      </c>
      <c r="E9" s="83">
        <f>LOG10(E7)</f>
        <v>0.23786477517661744</v>
      </c>
      <c r="F9" s="3">
        <f>LOG10(C9)</f>
        <v>-0.5528419686577807</v>
      </c>
      <c r="G9" s="94">
        <f>STDEV(F5:F9)</f>
        <v>0.2794762573925488</v>
      </c>
      <c r="H9" s="86">
        <f>G9/E9</f>
        <v>1.174937555108924</v>
      </c>
      <c r="J9" t="s">
        <v>411</v>
      </c>
      <c r="K9">
        <v>6.3</v>
      </c>
      <c r="L9">
        <f>-LN(1-C9)</f>
        <v>0.32850406697203605</v>
      </c>
      <c r="M9" s="45">
        <f>STDEV(L5:L9)</f>
        <v>0.2751708123023533</v>
      </c>
      <c r="N9" s="83">
        <f>LOG10(N7)</f>
        <v>0.27520597217766624</v>
      </c>
      <c r="O9" s="3">
        <f>LOG10(L9)</f>
        <v>-0.4834592493840182</v>
      </c>
      <c r="P9" s="178">
        <f>STDEV(O5:O9)</f>
        <v>0.33356383911310383</v>
      </c>
      <c r="Q9" s="86">
        <f>P9/N9</f>
        <v>1.2120516007471058</v>
      </c>
    </row>
    <row r="10" spans="7:18" ht="12.75">
      <c r="G10" s="2"/>
      <c r="P10" s="2"/>
      <c r="R10" s="197" t="s">
        <v>297</v>
      </c>
    </row>
    <row r="11" spans="1:22" ht="12.75">
      <c r="A11" t="s">
        <v>127</v>
      </c>
      <c r="B11" t="s">
        <v>413</v>
      </c>
      <c r="C11" t="s">
        <v>205</v>
      </c>
      <c r="F11" t="s">
        <v>207</v>
      </c>
      <c r="G11" s="2"/>
      <c r="J11" t="s">
        <v>127</v>
      </c>
      <c r="K11" t="s">
        <v>413</v>
      </c>
      <c r="L11" t="s">
        <v>205</v>
      </c>
      <c r="O11" t="s">
        <v>207</v>
      </c>
      <c r="P11" s="2"/>
      <c r="R11" t="s">
        <v>374</v>
      </c>
      <c r="S11">
        <v>0.3162</v>
      </c>
      <c r="T11">
        <f>S11^2</f>
        <v>0.09998243999999999</v>
      </c>
      <c r="U11">
        <v>4</v>
      </c>
      <c r="V11">
        <f>U11*T11</f>
        <v>0.39992975999999997</v>
      </c>
    </row>
    <row r="12" spans="1:22" ht="12.75">
      <c r="A12" t="s">
        <v>408</v>
      </c>
      <c r="B12">
        <v>8.8</v>
      </c>
      <c r="C12">
        <v>0.13</v>
      </c>
      <c r="F12" s="3">
        <f>LOG10(C12)</f>
        <v>-0.8860566476931632</v>
      </c>
      <c r="G12" s="2"/>
      <c r="J12" t="s">
        <v>408</v>
      </c>
      <c r="K12">
        <v>8.8</v>
      </c>
      <c r="L12">
        <f>-LN(1-C12)</f>
        <v>0.13926206733350766</v>
      </c>
      <c r="O12" s="3">
        <f>LOG10(L12)</f>
        <v>-0.8561671620480555</v>
      </c>
      <c r="P12" s="2"/>
      <c r="R12" t="s">
        <v>295</v>
      </c>
      <c r="S12">
        <v>0.2664</v>
      </c>
      <c r="T12">
        <f>S12^2</f>
        <v>0.07096896000000001</v>
      </c>
      <c r="U12">
        <v>4</v>
      </c>
      <c r="V12">
        <f>U12*T12</f>
        <v>0.28387584000000005</v>
      </c>
    </row>
    <row r="13" spans="1:22" ht="12.75">
      <c r="A13" t="s">
        <v>409</v>
      </c>
      <c r="B13">
        <v>9.6</v>
      </c>
      <c r="C13">
        <v>0.13</v>
      </c>
      <c r="D13" s="82" t="s">
        <v>598</v>
      </c>
      <c r="E13" s="82" t="s">
        <v>126</v>
      </c>
      <c r="F13" s="3">
        <f>LOG10(C13)</f>
        <v>-0.8860566476931632</v>
      </c>
      <c r="G13" s="2"/>
      <c r="J13" t="s">
        <v>409</v>
      </c>
      <c r="K13">
        <v>9.6</v>
      </c>
      <c r="L13">
        <f>-LN(1-C13)</f>
        <v>0.13926206733350766</v>
      </c>
      <c r="M13" s="82" t="s">
        <v>598</v>
      </c>
      <c r="N13" s="82" t="s">
        <v>126</v>
      </c>
      <c r="O13" s="3">
        <f>LOG10(L13)</f>
        <v>-0.8561671620480555</v>
      </c>
      <c r="P13" s="2"/>
      <c r="U13">
        <v>8</v>
      </c>
      <c r="V13">
        <f>SUM(V11:V12)</f>
        <v>0.6838056</v>
      </c>
    </row>
    <row r="14" spans="1:19" ht="12.75">
      <c r="A14" t="s">
        <v>424</v>
      </c>
      <c r="B14">
        <v>6.5</v>
      </c>
      <c r="C14">
        <v>0.5</v>
      </c>
      <c r="D14" s="45">
        <f>AVERAGE(C12:C16)</f>
        <v>0.282</v>
      </c>
      <c r="E14" s="45">
        <f>EXP(SQRT(LN(POWER(D16,2)/POWER(D14,2)+1)))</f>
        <v>1.7092005896195865</v>
      </c>
      <c r="F14" s="3">
        <f>LOG10(C14)</f>
        <v>-0.3010299956639812</v>
      </c>
      <c r="G14" s="2"/>
      <c r="J14" t="s">
        <v>424</v>
      </c>
      <c r="K14">
        <v>6.5</v>
      </c>
      <c r="L14">
        <f>-LN(1-C14)</f>
        <v>0.6931471805599453</v>
      </c>
      <c r="M14" s="45">
        <f>AVERAGE(L12:L16)</f>
        <v>0.35341454596513244</v>
      </c>
      <c r="N14" s="45">
        <f>EXP(SQRT(LN(POWER(M16,2)/POWER(M14,2)+1)))</f>
        <v>1.8497795046590793</v>
      </c>
      <c r="O14" s="3">
        <f>LOG10(L14)</f>
        <v>-0.1591745389548616</v>
      </c>
      <c r="P14" s="2"/>
      <c r="S14" s="198"/>
    </row>
    <row r="15" spans="1:22" ht="12.75">
      <c r="A15" t="s">
        <v>410</v>
      </c>
      <c r="B15">
        <v>8.3</v>
      </c>
      <c r="C15">
        <v>0.39</v>
      </c>
      <c r="D15" s="82" t="s">
        <v>431</v>
      </c>
      <c r="E15" s="82" t="s">
        <v>384</v>
      </c>
      <c r="F15" s="3">
        <f>LOG10(C15)</f>
        <v>-0.40893539297350073</v>
      </c>
      <c r="G15" s="97" t="s">
        <v>384</v>
      </c>
      <c r="H15" s="85" t="s">
        <v>323</v>
      </c>
      <c r="J15" t="s">
        <v>410</v>
      </c>
      <c r="K15">
        <v>8.3</v>
      </c>
      <c r="L15">
        <f>-LN(1-C15)</f>
        <v>0.4942963218147801</v>
      </c>
      <c r="M15" s="82" t="s">
        <v>431</v>
      </c>
      <c r="N15" s="82" t="s">
        <v>384</v>
      </c>
      <c r="O15" s="3">
        <f>LOG10(L15)</f>
        <v>-0.3060126212233984</v>
      </c>
      <c r="P15" s="97" t="s">
        <v>384</v>
      </c>
      <c r="Q15" s="85" t="s">
        <v>323</v>
      </c>
      <c r="V15" s="178">
        <f>SQRT(V13/U13)</f>
        <v>0.29236227526820213</v>
      </c>
    </row>
    <row r="16" spans="1:18" ht="12.75">
      <c r="A16" t="s">
        <v>411</v>
      </c>
      <c r="B16">
        <v>6.3</v>
      </c>
      <c r="C16">
        <v>0.26</v>
      </c>
      <c r="D16" s="45">
        <f>STDEV(C12:C16)</f>
        <v>0.16269603560013385</v>
      </c>
      <c r="E16" s="83">
        <f>LOG10(E14)</f>
        <v>0.2327930339629033</v>
      </c>
      <c r="F16" s="3">
        <f>LOG10(C16)</f>
        <v>-0.585026652029182</v>
      </c>
      <c r="G16" s="94">
        <f>STDEV(F12:F16)</f>
        <v>0.2687327365868684</v>
      </c>
      <c r="H16" s="86">
        <f>G16/E16</f>
        <v>1.1543847855417027</v>
      </c>
      <c r="J16" t="s">
        <v>411</v>
      </c>
      <c r="K16">
        <v>6.3</v>
      </c>
      <c r="L16">
        <f>-LN(1-C16)</f>
        <v>0.30110509278392167</v>
      </c>
      <c r="M16" s="45">
        <f>STDEV(L12:L16)</f>
        <v>0.2396480674215512</v>
      </c>
      <c r="N16" s="83">
        <f>LOG10(N14)</f>
        <v>0.26711996320466075</v>
      </c>
      <c r="O16" s="3">
        <f>LOG10(L16)</f>
        <v>-0.5212818989234742</v>
      </c>
      <c r="P16" s="178">
        <f>STDEV(O12:O16)</f>
        <v>0.3162481442046685</v>
      </c>
      <c r="Q16" s="86">
        <f>P16/N16</f>
        <v>1.1839180434536334</v>
      </c>
      <c r="R16" s="197" t="s">
        <v>108</v>
      </c>
    </row>
    <row r="17" spans="7:22" ht="12.75">
      <c r="G17" s="2"/>
      <c r="P17" s="2"/>
      <c r="R17" t="s">
        <v>374</v>
      </c>
      <c r="S17">
        <v>0.3192</v>
      </c>
      <c r="T17">
        <f>S17^2</f>
        <v>0.10188863999999999</v>
      </c>
      <c r="U17">
        <v>4</v>
      </c>
      <c r="V17">
        <f>U17*T17</f>
        <v>0.40755455999999995</v>
      </c>
    </row>
    <row r="18" spans="1:22" ht="12.75">
      <c r="A18" t="s">
        <v>127</v>
      </c>
      <c r="B18" t="s">
        <v>413</v>
      </c>
      <c r="C18" t="s">
        <v>107</v>
      </c>
      <c r="F18" t="s">
        <v>207</v>
      </c>
      <c r="G18" s="2"/>
      <c r="J18" t="s">
        <v>127</v>
      </c>
      <c r="K18" t="s">
        <v>413</v>
      </c>
      <c r="L18" t="s">
        <v>107</v>
      </c>
      <c r="O18" t="s">
        <v>207</v>
      </c>
      <c r="P18" s="2"/>
      <c r="R18" t="s">
        <v>295</v>
      </c>
      <c r="S18">
        <v>0.2918</v>
      </c>
      <c r="T18">
        <f>S18^2</f>
        <v>0.08514724</v>
      </c>
      <c r="U18">
        <v>4</v>
      </c>
      <c r="V18">
        <f>U18*T18</f>
        <v>0.34058896</v>
      </c>
    </row>
    <row r="19" spans="1:22" ht="12.75">
      <c r="A19" t="s">
        <v>408</v>
      </c>
      <c r="B19">
        <v>8.8</v>
      </c>
      <c r="C19">
        <v>0.1</v>
      </c>
      <c r="F19" s="3">
        <f>LOG10(C19)</f>
        <v>-0.9999999999999999</v>
      </c>
      <c r="G19" s="2"/>
      <c r="J19" t="s">
        <v>408</v>
      </c>
      <c r="K19">
        <v>8.8</v>
      </c>
      <c r="L19">
        <f>-LN(1-C19)</f>
        <v>0.10536051565782627</v>
      </c>
      <c r="O19" s="3">
        <f>LOG10(L19)</f>
        <v>-0.9773221125071639</v>
      </c>
      <c r="P19" s="2"/>
      <c r="U19">
        <v>8</v>
      </c>
      <c r="V19">
        <f>SUM(V17:V18)</f>
        <v>0.74814352</v>
      </c>
    </row>
    <row r="20" spans="1:16" ht="12.75">
      <c r="A20" t="s">
        <v>409</v>
      </c>
      <c r="B20">
        <v>9.6</v>
      </c>
      <c r="C20">
        <v>0.08</v>
      </c>
      <c r="D20" s="82" t="s">
        <v>598</v>
      </c>
      <c r="E20" s="82" t="s">
        <v>126</v>
      </c>
      <c r="F20" s="3">
        <f>LOG10(C20)</f>
        <v>-1.0969100130080565</v>
      </c>
      <c r="G20" s="2"/>
      <c r="J20" t="s">
        <v>409</v>
      </c>
      <c r="K20">
        <v>9.6</v>
      </c>
      <c r="L20">
        <f>-LN(1-C20)</f>
        <v>0.08338160893905103</v>
      </c>
      <c r="M20" s="82" t="s">
        <v>598</v>
      </c>
      <c r="N20" s="82" t="s">
        <v>126</v>
      </c>
      <c r="O20" s="3">
        <f>LOG10(L20)</f>
        <v>-1.0789297289433515</v>
      </c>
      <c r="P20" s="2"/>
    </row>
    <row r="21" spans="1:22" ht="12.75">
      <c r="A21" t="s">
        <v>424</v>
      </c>
      <c r="B21">
        <v>6.5</v>
      </c>
      <c r="C21">
        <v>0.39</v>
      </c>
      <c r="D21" s="45">
        <f>AVERAGE(C19:C23)</f>
        <v>0.20400000000000001</v>
      </c>
      <c r="E21" s="45">
        <f>EXP(SQRT(LN(POWER(D23,2)/POWER(D21,2)+1)))</f>
        <v>1.7697186776030907</v>
      </c>
      <c r="F21" s="3">
        <f>LOG10(C21)</f>
        <v>-0.40893539297350073</v>
      </c>
      <c r="G21" s="2"/>
      <c r="J21" t="s">
        <v>424</v>
      </c>
      <c r="K21">
        <v>6.5</v>
      </c>
      <c r="L21">
        <f>-LN(1-C21)</f>
        <v>0.4942963218147801</v>
      </c>
      <c r="M21" s="45">
        <f>AVERAGE(L19:L23)</f>
        <v>0.2389729141022463</v>
      </c>
      <c r="N21" s="45">
        <f>EXP(SQRT(LN(POWER(M23,2)/POWER(M21,2)+1)))</f>
        <v>1.8803078077074322</v>
      </c>
      <c r="O21" s="3">
        <f>LOG10(L21)</f>
        <v>-0.3060126212233984</v>
      </c>
      <c r="P21" s="2"/>
      <c r="V21" s="178">
        <f>SQRT(V19/U19)</f>
        <v>0.3058070306582241</v>
      </c>
    </row>
    <row r="22" spans="1:16" ht="12.75">
      <c r="A22" t="s">
        <v>410</v>
      </c>
      <c r="B22">
        <v>8.3</v>
      </c>
      <c r="C22">
        <v>0.26</v>
      </c>
      <c r="D22" s="82" t="s">
        <v>431</v>
      </c>
      <c r="E22" s="82" t="s">
        <v>384</v>
      </c>
      <c r="F22" s="3">
        <f>LOG10(C22)</f>
        <v>-0.585026652029182</v>
      </c>
      <c r="G22" s="97" t="s">
        <v>384</v>
      </c>
      <c r="J22" t="s">
        <v>410</v>
      </c>
      <c r="K22">
        <v>8.3</v>
      </c>
      <c r="L22">
        <f>-LN(1-C22)</f>
        <v>0.30110509278392167</v>
      </c>
      <c r="M22" s="82" t="s">
        <v>431</v>
      </c>
      <c r="N22" s="82" t="s">
        <v>384</v>
      </c>
      <c r="O22" s="3">
        <f>LOG10(L22)</f>
        <v>-0.5212818989234742</v>
      </c>
      <c r="P22" s="97" t="s">
        <v>384</v>
      </c>
    </row>
    <row r="23" spans="1:16" ht="12.75">
      <c r="A23" t="s">
        <v>411</v>
      </c>
      <c r="B23">
        <v>6.3</v>
      </c>
      <c r="C23">
        <v>0.19</v>
      </c>
      <c r="D23" s="45">
        <f>STDEV(C19:C23)</f>
        <v>0.1266096362841313</v>
      </c>
      <c r="E23" s="83">
        <f>LOG10(E21)</f>
        <v>0.2479042344550374</v>
      </c>
      <c r="F23" s="3">
        <f>LOG10(C23)</f>
        <v>-0.721246399047171</v>
      </c>
      <c r="G23" s="94">
        <f>STDEV(F19:F23)</f>
        <v>0.28567589059036547</v>
      </c>
      <c r="J23" t="s">
        <v>411</v>
      </c>
      <c r="K23">
        <v>6.3</v>
      </c>
      <c r="L23">
        <f>-LN(1-C23)</f>
        <v>0.21072103131565253</v>
      </c>
      <c r="M23" s="45">
        <f>STDEV(L19:L23)</f>
        <v>0.16726442112349904</v>
      </c>
      <c r="N23" s="83">
        <f>LOG10(N21)</f>
        <v>0.27422894939481784</v>
      </c>
      <c r="O23" s="3">
        <f>LOG10(L23)</f>
        <v>-0.6762921168431828</v>
      </c>
      <c r="P23" s="178">
        <f>STDEV(O19:O23)</f>
        <v>0.31918154821101996</v>
      </c>
    </row>
    <row r="26" spans="1:16" ht="12.75">
      <c r="A26" s="81" t="s">
        <v>206</v>
      </c>
      <c r="B26" s="49" t="s">
        <v>208</v>
      </c>
      <c r="G26" s="2"/>
      <c r="J26" s="81" t="s">
        <v>206</v>
      </c>
      <c r="K26" s="49" t="s">
        <v>208</v>
      </c>
      <c r="P26" s="2"/>
    </row>
    <row r="27" spans="1:16" ht="12.75">
      <c r="A27" t="s">
        <v>127</v>
      </c>
      <c r="B27" t="s">
        <v>413</v>
      </c>
      <c r="C27" t="s">
        <v>414</v>
      </c>
      <c r="F27" t="s">
        <v>207</v>
      </c>
      <c r="G27" s="2"/>
      <c r="J27" t="s">
        <v>127</v>
      </c>
      <c r="K27" t="s">
        <v>413</v>
      </c>
      <c r="L27" t="s">
        <v>414</v>
      </c>
      <c r="O27" t="s">
        <v>207</v>
      </c>
      <c r="P27" s="2"/>
    </row>
    <row r="28" spans="1:16" ht="12.75">
      <c r="A28" t="s">
        <v>408</v>
      </c>
      <c r="B28">
        <v>37.7</v>
      </c>
      <c r="C28">
        <v>0.38</v>
      </c>
      <c r="F28" s="3">
        <f>LOG10(C28)</f>
        <v>-0.4202164033831898</v>
      </c>
      <c r="G28" s="2"/>
      <c r="J28" t="s">
        <v>408</v>
      </c>
      <c r="K28">
        <v>37.7</v>
      </c>
      <c r="L28">
        <f>-LN(1-C28)</f>
        <v>0.4780358009429998</v>
      </c>
      <c r="O28" s="3">
        <f>LOG10(L28)</f>
        <v>-0.32053957709130587</v>
      </c>
      <c r="P28" s="2"/>
    </row>
    <row r="29" spans="1:16" ht="12.75">
      <c r="A29" t="s">
        <v>409</v>
      </c>
      <c r="B29">
        <v>38.9</v>
      </c>
      <c r="C29">
        <v>0.14</v>
      </c>
      <c r="D29" s="82" t="s">
        <v>598</v>
      </c>
      <c r="E29" s="82" t="s">
        <v>126</v>
      </c>
      <c r="F29" s="3">
        <f>LOG10(C29)</f>
        <v>-0.8538719643217619</v>
      </c>
      <c r="G29" s="2"/>
      <c r="J29" t="s">
        <v>409</v>
      </c>
      <c r="K29">
        <v>38.9</v>
      </c>
      <c r="L29">
        <f>-LN(1-C29)</f>
        <v>0.15082288973458366</v>
      </c>
      <c r="M29" s="82" t="s">
        <v>598</v>
      </c>
      <c r="N29" s="82" t="s">
        <v>126</v>
      </c>
      <c r="O29" s="3">
        <f>LOG10(L29)</f>
        <v>-0.8215327424779075</v>
      </c>
      <c r="P29" s="2"/>
    </row>
    <row r="30" spans="1:16" ht="12.75">
      <c r="A30" t="s">
        <v>424</v>
      </c>
      <c r="B30">
        <v>46.1</v>
      </c>
      <c r="C30">
        <v>0.55</v>
      </c>
      <c r="D30" s="45">
        <f>AVERAGE(C28:C32)</f>
        <v>0.362</v>
      </c>
      <c r="E30" s="45">
        <f>EXP(SQRT(LN(POWER(D32,2)/POWER(D30,2)+1)))</f>
        <v>1.5579866023976503</v>
      </c>
      <c r="F30" s="3">
        <f>LOG10(C30)</f>
        <v>-0.2596373105057561</v>
      </c>
      <c r="G30" s="2"/>
      <c r="J30" t="s">
        <v>424</v>
      </c>
      <c r="K30">
        <v>46.1</v>
      </c>
      <c r="L30">
        <f>-LN(1-C30)</f>
        <v>0.7985076962177717</v>
      </c>
      <c r="M30" s="45">
        <f>AVERAGE(L28:L32)</f>
        <v>0.4776786025221803</v>
      </c>
      <c r="N30" s="45">
        <f>EXP(SQRT(LN(POWER(M32,2)/POWER(M30,2)+1)))</f>
        <v>1.683061109574268</v>
      </c>
      <c r="O30" s="3">
        <f>LOG10(L30)</f>
        <v>-0.09772089366600901</v>
      </c>
      <c r="P30" s="2"/>
    </row>
    <row r="31" spans="1:17" ht="12.75">
      <c r="A31" t="s">
        <v>410</v>
      </c>
      <c r="B31">
        <v>40.1</v>
      </c>
      <c r="C31">
        <v>0.49</v>
      </c>
      <c r="D31" s="82" t="s">
        <v>431</v>
      </c>
      <c r="E31" s="82" t="s">
        <v>384</v>
      </c>
      <c r="F31" s="3">
        <f>LOG10(C31)</f>
        <v>-0.3098039199714863</v>
      </c>
      <c r="G31" s="97" t="s">
        <v>384</v>
      </c>
      <c r="H31" s="85" t="s">
        <v>323</v>
      </c>
      <c r="J31" t="s">
        <v>410</v>
      </c>
      <c r="K31">
        <v>40.1</v>
      </c>
      <c r="L31">
        <f>-LN(1-C31)</f>
        <v>0.6733445532637656</v>
      </c>
      <c r="M31" s="82" t="s">
        <v>431</v>
      </c>
      <c r="N31" s="82" t="s">
        <v>384</v>
      </c>
      <c r="O31" s="3">
        <f>LOG10(L31)</f>
        <v>-0.17176264857015267</v>
      </c>
      <c r="P31" s="97" t="s">
        <v>384</v>
      </c>
      <c r="Q31" s="85" t="s">
        <v>323</v>
      </c>
    </row>
    <row r="32" spans="1:17" ht="12.75">
      <c r="A32" t="s">
        <v>411</v>
      </c>
      <c r="B32">
        <v>32.7</v>
      </c>
      <c r="C32">
        <v>0.25</v>
      </c>
      <c r="D32" s="45">
        <f>STDEV(C28:C32)</f>
        <v>0.16873055443517038</v>
      </c>
      <c r="E32" s="83">
        <f>LOG10(E30)</f>
        <v>0.1925637187217904</v>
      </c>
      <c r="F32" s="3">
        <f>LOG10(C32)</f>
        <v>-0.6020599913279624</v>
      </c>
      <c r="G32" s="94">
        <f>STDEV(F28:F32)</f>
        <v>0.24257148639993953</v>
      </c>
      <c r="H32" s="86">
        <f>G32/E32</f>
        <v>1.259694650737394</v>
      </c>
      <c r="J32" t="s">
        <v>411</v>
      </c>
      <c r="K32">
        <v>32.7</v>
      </c>
      <c r="L32">
        <f>-LN(1-C32)</f>
        <v>0.2876820724517809</v>
      </c>
      <c r="M32" s="45">
        <f>STDEV(L28:L32)</f>
        <v>0.2665285808560385</v>
      </c>
      <c r="N32" s="83">
        <f>LOG10(N30)</f>
        <v>0.2260998848819934</v>
      </c>
      <c r="O32" s="3">
        <f>LOG10(L32)</f>
        <v>-0.5410872012930469</v>
      </c>
      <c r="P32" s="94">
        <f>STDEV(O28:O32)</f>
        <v>0.294502046248293</v>
      </c>
      <c r="Q32" s="86">
        <f>P32/N32</f>
        <v>1.3025307217736986</v>
      </c>
    </row>
    <row r="33" spans="4:16" ht="12.75">
      <c r="D33" s="45"/>
      <c r="E33" s="45"/>
      <c r="F33" s="3"/>
      <c r="G33" s="2"/>
      <c r="H33" s="3"/>
      <c r="M33" s="45"/>
      <c r="N33" s="45"/>
      <c r="O33" s="3"/>
      <c r="P33" s="2"/>
    </row>
    <row r="34" spans="1:16" ht="12.75">
      <c r="A34" t="s">
        <v>127</v>
      </c>
      <c r="B34" t="s">
        <v>413</v>
      </c>
      <c r="C34" t="s">
        <v>205</v>
      </c>
      <c r="F34" t="s">
        <v>207</v>
      </c>
      <c r="G34" s="2"/>
      <c r="J34" t="s">
        <v>127</v>
      </c>
      <c r="K34" t="s">
        <v>413</v>
      </c>
      <c r="L34" t="s">
        <v>205</v>
      </c>
      <c r="O34" t="s">
        <v>207</v>
      </c>
      <c r="P34" s="2"/>
    </row>
    <row r="35" spans="1:16" ht="12.75">
      <c r="A35" t="s">
        <v>408</v>
      </c>
      <c r="B35">
        <v>37.7</v>
      </c>
      <c r="C35">
        <v>0.27</v>
      </c>
      <c r="F35" s="3">
        <f>LOG10(C35)</f>
        <v>-0.5686362358410126</v>
      </c>
      <c r="G35" s="2"/>
      <c r="J35" t="s">
        <v>408</v>
      </c>
      <c r="K35">
        <v>37.7</v>
      </c>
      <c r="L35">
        <f>-LN(1-C35)</f>
        <v>0.31471074483970024</v>
      </c>
      <c r="O35" s="3">
        <f>LOG10(L35)</f>
        <v>-0.5020884291715288</v>
      </c>
      <c r="P35" s="2"/>
    </row>
    <row r="36" spans="1:16" ht="12.75">
      <c r="A36" t="s">
        <v>409</v>
      </c>
      <c r="B36">
        <v>38.9</v>
      </c>
      <c r="C36">
        <v>0.12</v>
      </c>
      <c r="D36" s="82" t="s">
        <v>598</v>
      </c>
      <c r="E36" s="82" t="s">
        <v>126</v>
      </c>
      <c r="F36" s="3">
        <f>LOG10(C36)</f>
        <v>-0.9208187539523751</v>
      </c>
      <c r="G36" s="2"/>
      <c r="J36" t="s">
        <v>409</v>
      </c>
      <c r="K36">
        <v>38.9</v>
      </c>
      <c r="L36">
        <f>-LN(1-C36)</f>
        <v>0.12783337150988489</v>
      </c>
      <c r="M36" s="82" t="s">
        <v>598</v>
      </c>
      <c r="N36" s="82" t="s">
        <v>126</v>
      </c>
      <c r="O36" s="3">
        <f>LOG10(L36)</f>
        <v>-0.8933557567356024</v>
      </c>
      <c r="P36" s="2"/>
    </row>
    <row r="37" spans="1:16" ht="12.75">
      <c r="A37" t="s">
        <v>424</v>
      </c>
      <c r="B37">
        <v>46.1</v>
      </c>
      <c r="C37">
        <v>0.43</v>
      </c>
      <c r="D37" s="45">
        <f>AVERAGE(C35:C39)</f>
        <v>0.292</v>
      </c>
      <c r="E37" s="45">
        <f>EXP(SQRT(LN(POWER(D39,2)/POWER(D37,2)+1)))</f>
        <v>1.5433827369668172</v>
      </c>
      <c r="F37" s="3">
        <f>LOG10(C37)</f>
        <v>-0.36653154442041347</v>
      </c>
      <c r="G37" s="2"/>
      <c r="J37" t="s">
        <v>424</v>
      </c>
      <c r="K37">
        <v>46.1</v>
      </c>
      <c r="L37">
        <f>-LN(1-C37)</f>
        <v>0.5621189181535411</v>
      </c>
      <c r="M37" s="45">
        <f>AVERAGE(L35:L39)</f>
        <v>0.35957031384865956</v>
      </c>
      <c r="N37" s="45">
        <f>EXP(SQRT(LN(POWER(M39,2)/POWER(M37,2)+1)))</f>
        <v>1.6399376306227913</v>
      </c>
      <c r="O37" s="3">
        <f>LOG10(L37)</f>
        <v>-0.2501717982483658</v>
      </c>
      <c r="P37" s="2"/>
    </row>
    <row r="38" spans="1:17" ht="12.75">
      <c r="A38" t="s">
        <v>410</v>
      </c>
      <c r="B38">
        <v>40.1</v>
      </c>
      <c r="C38">
        <v>0.42</v>
      </c>
      <c r="D38" s="82" t="s">
        <v>431</v>
      </c>
      <c r="E38" s="82" t="s">
        <v>384</v>
      </c>
      <c r="F38" s="3">
        <f>LOG10(C38)</f>
        <v>-0.37675070960209955</v>
      </c>
      <c r="G38" s="97" t="s">
        <v>384</v>
      </c>
      <c r="H38" s="85" t="s">
        <v>323</v>
      </c>
      <c r="J38" t="s">
        <v>410</v>
      </c>
      <c r="K38">
        <v>40.1</v>
      </c>
      <c r="L38">
        <f>-LN(1-C38)</f>
        <v>0.5447271754416719</v>
      </c>
      <c r="M38" s="82" t="s">
        <v>431</v>
      </c>
      <c r="N38" s="82" t="s">
        <v>384</v>
      </c>
      <c r="O38" s="3">
        <f>LOG10(L38)</f>
        <v>-0.26382095802967165</v>
      </c>
      <c r="P38" s="97" t="s">
        <v>384</v>
      </c>
      <c r="Q38" s="85" t="s">
        <v>323</v>
      </c>
    </row>
    <row r="39" spans="1:17" ht="12.75">
      <c r="A39" t="s">
        <v>411</v>
      </c>
      <c r="B39">
        <v>32.7</v>
      </c>
      <c r="C39">
        <v>0.22</v>
      </c>
      <c r="D39" s="45">
        <f>STDEV(C35:C39)</f>
        <v>0.13292855223765893</v>
      </c>
      <c r="E39" s="83">
        <f>LOG10(E37)</f>
        <v>0.1884736382736724</v>
      </c>
      <c r="F39" s="3">
        <f>LOG10(C39)</f>
        <v>-0.6575773191777937</v>
      </c>
      <c r="G39" s="94">
        <f>STDEV(F35:F39)</f>
        <v>0.22867285183702224</v>
      </c>
      <c r="H39" s="86">
        <f>G39/E39</f>
        <v>1.213288255755846</v>
      </c>
      <c r="J39" t="s">
        <v>411</v>
      </c>
      <c r="K39">
        <v>32.7</v>
      </c>
      <c r="L39">
        <f>-LN(1-C39)</f>
        <v>0.24846135929849958</v>
      </c>
      <c r="M39" s="45">
        <f>STDEV(L35:L39)</f>
        <v>0.18932022584648278</v>
      </c>
      <c r="N39" s="83">
        <f>LOG10(N37)</f>
        <v>0.21482733146755814</v>
      </c>
      <c r="O39" s="3">
        <f>LOG10(L39)</f>
        <v>-0.6047411431410941</v>
      </c>
      <c r="P39" s="178">
        <f>STDEV(O35:O39)</f>
        <v>0.26639176347802124</v>
      </c>
      <c r="Q39" s="86">
        <f>P39/N39</f>
        <v>1.2400273357128677</v>
      </c>
    </row>
    <row r="41" spans="1:16" ht="12.75">
      <c r="A41" t="s">
        <v>127</v>
      </c>
      <c r="B41" t="s">
        <v>413</v>
      </c>
      <c r="C41" t="s">
        <v>107</v>
      </c>
      <c r="F41" t="s">
        <v>207</v>
      </c>
      <c r="G41" s="2"/>
      <c r="J41" t="s">
        <v>127</v>
      </c>
      <c r="K41" t="s">
        <v>413</v>
      </c>
      <c r="L41" t="s">
        <v>107</v>
      </c>
      <c r="O41" t="s">
        <v>207</v>
      </c>
      <c r="P41" s="2"/>
    </row>
    <row r="42" spans="1:16" ht="12.75">
      <c r="A42" t="s">
        <v>408</v>
      </c>
      <c r="B42">
        <v>37.7</v>
      </c>
      <c r="C42">
        <v>0.18</v>
      </c>
      <c r="F42" s="3">
        <f>LOG10(C42)</f>
        <v>-0.7447274948966939</v>
      </c>
      <c r="G42" s="2"/>
      <c r="J42" t="s">
        <v>408</v>
      </c>
      <c r="K42">
        <v>37.7</v>
      </c>
      <c r="L42">
        <f>-LN(1-C42)</f>
        <v>0.19845093872383818</v>
      </c>
      <c r="O42" s="3">
        <f>LOG10(L42)</f>
        <v>-0.7023468424276733</v>
      </c>
      <c r="P42" s="2"/>
    </row>
    <row r="43" spans="1:16" ht="12.75">
      <c r="A43" t="s">
        <v>409</v>
      </c>
      <c r="B43">
        <v>38.9</v>
      </c>
      <c r="C43">
        <v>0.06</v>
      </c>
      <c r="D43" s="82" t="s">
        <v>598</v>
      </c>
      <c r="E43" s="82" t="s">
        <v>126</v>
      </c>
      <c r="F43" s="3">
        <f>LOG10(C43)</f>
        <v>-1.2218487496163564</v>
      </c>
      <c r="G43" s="2"/>
      <c r="J43" t="s">
        <v>409</v>
      </c>
      <c r="K43">
        <v>38.9</v>
      </c>
      <c r="L43">
        <f>-LN(1-C43)</f>
        <v>0.06187540371808752</v>
      </c>
      <c r="M43" s="82" t="s">
        <v>598</v>
      </c>
      <c r="N43" s="82" t="s">
        <v>126</v>
      </c>
      <c r="O43" s="3">
        <f>LOG10(L43)</f>
        <v>-1.208481954410445</v>
      </c>
      <c r="P43" s="2"/>
    </row>
    <row r="44" spans="1:16" ht="12.75">
      <c r="A44" t="s">
        <v>424</v>
      </c>
      <c r="B44">
        <v>46.1</v>
      </c>
      <c r="C44">
        <v>0.31</v>
      </c>
      <c r="D44" s="45">
        <f>AVERAGE(C42:C46)</f>
        <v>0.182</v>
      </c>
      <c r="E44" s="45">
        <f>EXP(SQRT(LN(POWER(D46,2)/POWER(D44,2)+1)))</f>
        <v>1.6175847240634305</v>
      </c>
      <c r="F44" s="3">
        <f>LOG10(C44)</f>
        <v>-0.5086383061657272</v>
      </c>
      <c r="G44" s="2"/>
      <c r="J44" t="s">
        <v>424</v>
      </c>
      <c r="K44">
        <v>46.1</v>
      </c>
      <c r="L44">
        <f>-LN(1-C44)</f>
        <v>0.371063681390832</v>
      </c>
      <c r="M44" s="45">
        <f>AVERAGE(L42:L46)</f>
        <v>0.20613485457316819</v>
      </c>
      <c r="N44" s="45">
        <f>EXP(SQRT(LN(POWER(M46,2)/POWER(M44,2)+1)))</f>
        <v>1.6831139761637068</v>
      </c>
      <c r="O44" s="3">
        <f>LOG10(L44)</f>
        <v>-0.4305515510229028</v>
      </c>
      <c r="P44" s="2"/>
    </row>
    <row r="45" spans="1:16" ht="12.75">
      <c r="A45" t="s">
        <v>410</v>
      </c>
      <c r="B45">
        <v>40.1</v>
      </c>
      <c r="C45">
        <v>0.22</v>
      </c>
      <c r="D45" s="82" t="s">
        <v>431</v>
      </c>
      <c r="E45" s="82" t="s">
        <v>384</v>
      </c>
      <c r="F45" s="3">
        <f>LOG10(C45)</f>
        <v>-0.6575773191777937</v>
      </c>
      <c r="G45" s="97" t="s">
        <v>384</v>
      </c>
      <c r="H45" s="85" t="s">
        <v>323</v>
      </c>
      <c r="J45" t="s">
        <v>410</v>
      </c>
      <c r="K45">
        <v>40.1</v>
      </c>
      <c r="L45">
        <f>-LN(1-C45)</f>
        <v>0.24846135929849958</v>
      </c>
      <c r="M45" s="82" t="s">
        <v>431</v>
      </c>
      <c r="N45" s="82" t="s">
        <v>384</v>
      </c>
      <c r="O45" s="3">
        <f>LOG10(L45)</f>
        <v>-0.6047411431410941</v>
      </c>
      <c r="P45" s="97" t="s">
        <v>384</v>
      </c>
    </row>
    <row r="46" spans="1:16" ht="12.75">
      <c r="A46" t="s">
        <v>411</v>
      </c>
      <c r="B46">
        <v>32.7</v>
      </c>
      <c r="C46">
        <v>0.14</v>
      </c>
      <c r="D46" s="45">
        <f>STDEV(C42:C46)</f>
        <v>0.09284395510748127</v>
      </c>
      <c r="E46" s="83">
        <f>LOG10(E44)</f>
        <v>0.20886703693245762</v>
      </c>
      <c r="F46" s="3">
        <f>LOG10(C46)</f>
        <v>-0.8538719643217619</v>
      </c>
      <c r="G46" s="94">
        <f>STDEV(F42:F46)</f>
        <v>0.26881866187820713</v>
      </c>
      <c r="H46" s="86">
        <f>G46/E46</f>
        <v>1.2870324864384244</v>
      </c>
      <c r="J46" t="s">
        <v>411</v>
      </c>
      <c r="K46">
        <v>32.7</v>
      </c>
      <c r="L46">
        <f>-LN(1-C46)</f>
        <v>0.15082288973458366</v>
      </c>
      <c r="M46" s="45">
        <f>STDEV(L42:L46)</f>
        <v>0.11502423233367863</v>
      </c>
      <c r="N46" s="83">
        <f>LOG10(N44)</f>
        <v>0.22611352628060602</v>
      </c>
      <c r="O46" s="3">
        <f>LOG10(L46)</f>
        <v>-0.8215327424779075</v>
      </c>
      <c r="P46" s="178">
        <f>STDEV(O42:O46)</f>
        <v>0.29183838500569137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G41" sqref="G41:G50"/>
    </sheetView>
  </sheetViews>
  <sheetFormatPr defaultColWidth="11.00390625" defaultRowHeight="12"/>
  <sheetData>
    <row r="1" ht="18.75">
      <c r="A1" s="31" t="s">
        <v>360</v>
      </c>
    </row>
    <row r="2" ht="12.75">
      <c r="A2" t="s">
        <v>105</v>
      </c>
    </row>
    <row r="3" spans="1:12" ht="12.75">
      <c r="A3" t="s">
        <v>520</v>
      </c>
      <c r="B3" t="s">
        <v>185</v>
      </c>
      <c r="C3" t="s">
        <v>426</v>
      </c>
      <c r="D3" t="s">
        <v>354</v>
      </c>
      <c r="E3" t="s">
        <v>428</v>
      </c>
      <c r="F3" t="s">
        <v>312</v>
      </c>
      <c r="G3" t="s">
        <v>174</v>
      </c>
      <c r="K3" t="s">
        <v>428</v>
      </c>
      <c r="L3" t="s">
        <v>185</v>
      </c>
    </row>
    <row r="4" spans="1:18" ht="12.75">
      <c r="A4" t="s">
        <v>599</v>
      </c>
      <c r="B4">
        <v>0.7</v>
      </c>
      <c r="C4" s="5">
        <v>14.634146341463415</v>
      </c>
      <c r="D4" s="5">
        <v>10.2</v>
      </c>
      <c r="E4">
        <v>0.17</v>
      </c>
      <c r="F4" s="3">
        <f>LOG10(E4)</f>
        <v>-0.769551078621726</v>
      </c>
      <c r="G4" s="3">
        <f>-LN(1-E4)</f>
        <v>0.18632957819149348</v>
      </c>
      <c r="H4" s="3">
        <f>LOG10(G4)</f>
        <v>-0.7297181991792839</v>
      </c>
      <c r="K4">
        <v>0.04</v>
      </c>
      <c r="L4">
        <v>0.45</v>
      </c>
      <c r="O4" s="5"/>
      <c r="R4" s="5"/>
    </row>
    <row r="5" spans="1:18" ht="12.75">
      <c r="A5" t="s">
        <v>599</v>
      </c>
      <c r="B5">
        <v>0.7</v>
      </c>
      <c r="C5" s="5">
        <v>15</v>
      </c>
      <c r="D5" s="5">
        <f>B5*C5</f>
        <v>10.5</v>
      </c>
      <c r="E5">
        <v>0.17</v>
      </c>
      <c r="F5" s="3">
        <f aca="true" t="shared" si="0" ref="F5:F25">LOG10(E5)</f>
        <v>-0.769551078621726</v>
      </c>
      <c r="G5" s="3">
        <f aca="true" t="shared" si="1" ref="G5:G25">-LN(1-E5)</f>
        <v>0.18632957819149348</v>
      </c>
      <c r="H5" s="3">
        <f aca="true" t="shared" si="2" ref="H5:H25">LOG10(G5)</f>
        <v>-0.7297181991792839</v>
      </c>
      <c r="K5">
        <v>0.14</v>
      </c>
      <c r="L5">
        <v>0.51</v>
      </c>
      <c r="O5" s="5"/>
      <c r="R5" s="5"/>
    </row>
    <row r="6" spans="1:18" ht="12.75">
      <c r="A6" t="s">
        <v>599</v>
      </c>
      <c r="B6">
        <v>0.7</v>
      </c>
      <c r="C6" s="5">
        <v>15</v>
      </c>
      <c r="D6" s="5">
        <f>B6*C6</f>
        <v>10.5</v>
      </c>
      <c r="E6">
        <v>0.17</v>
      </c>
      <c r="F6" s="3">
        <f t="shared" si="0"/>
        <v>-0.769551078621726</v>
      </c>
      <c r="G6" s="3">
        <f t="shared" si="1"/>
        <v>0.18632957819149348</v>
      </c>
      <c r="H6" s="3">
        <f t="shared" si="2"/>
        <v>-0.7297181991792839</v>
      </c>
      <c r="K6">
        <v>0.17</v>
      </c>
      <c r="L6">
        <v>0.7</v>
      </c>
      <c r="O6" s="5"/>
      <c r="R6" s="5"/>
    </row>
    <row r="7" spans="1:18" ht="12.75">
      <c r="A7" t="s">
        <v>600</v>
      </c>
      <c r="B7">
        <v>0.55</v>
      </c>
      <c r="C7" s="5">
        <v>18.75</v>
      </c>
      <c r="D7" s="5">
        <v>10.5</v>
      </c>
      <c r="E7">
        <v>0.17</v>
      </c>
      <c r="F7" s="3">
        <f t="shared" si="0"/>
        <v>-0.769551078621726</v>
      </c>
      <c r="G7" s="3">
        <f t="shared" si="1"/>
        <v>0.18632957819149348</v>
      </c>
      <c r="H7" s="3">
        <f t="shared" si="2"/>
        <v>-0.7297181991792839</v>
      </c>
      <c r="K7">
        <v>0.17</v>
      </c>
      <c r="L7">
        <v>0.7</v>
      </c>
      <c r="O7" s="5"/>
      <c r="R7" s="5"/>
    </row>
    <row r="8" spans="1:18" ht="12.75">
      <c r="A8" t="s">
        <v>600</v>
      </c>
      <c r="B8">
        <v>0.7</v>
      </c>
      <c r="C8" s="5">
        <v>15</v>
      </c>
      <c r="D8" s="5">
        <f>B8*C8</f>
        <v>10.5</v>
      </c>
      <c r="E8">
        <v>0.29</v>
      </c>
      <c r="F8" s="3">
        <f t="shared" si="0"/>
        <v>-0.5376020021010439</v>
      </c>
      <c r="G8" s="3">
        <f t="shared" si="1"/>
        <v>0.342490308946776</v>
      </c>
      <c r="H8" s="3">
        <f t="shared" si="2"/>
        <v>-0.46535171272771275</v>
      </c>
      <c r="K8">
        <v>0.17</v>
      </c>
      <c r="L8">
        <v>0.7</v>
      </c>
      <c r="O8" s="5"/>
      <c r="R8" s="5"/>
    </row>
    <row r="9" spans="1:18" ht="12.75">
      <c r="A9" t="s">
        <v>600</v>
      </c>
      <c r="B9">
        <v>0.53</v>
      </c>
      <c r="C9" s="5">
        <v>15</v>
      </c>
      <c r="D9" s="5">
        <f>B9*C9</f>
        <v>7.95</v>
      </c>
      <c r="E9">
        <v>0.28</v>
      </c>
      <c r="F9" s="3">
        <f t="shared" si="0"/>
        <v>-0.5528419686577807</v>
      </c>
      <c r="G9" s="3">
        <f t="shared" si="1"/>
        <v>0.32850406697203605</v>
      </c>
      <c r="H9" s="3">
        <f t="shared" si="2"/>
        <v>-0.4834592493840182</v>
      </c>
      <c r="K9">
        <v>0.17</v>
      </c>
      <c r="L9">
        <v>0.55</v>
      </c>
      <c r="O9" s="5"/>
      <c r="R9" s="5"/>
    </row>
    <row r="10" spans="1:18" ht="12.75">
      <c r="A10" t="s">
        <v>601</v>
      </c>
      <c r="B10">
        <v>0.63</v>
      </c>
      <c r="C10" s="5">
        <v>12.244897959183673</v>
      </c>
      <c r="D10" s="5">
        <v>7.7</v>
      </c>
      <c r="E10">
        <v>0.31</v>
      </c>
      <c r="F10" s="3">
        <f t="shared" si="0"/>
        <v>-0.5086383061657272</v>
      </c>
      <c r="G10" s="3">
        <f t="shared" si="1"/>
        <v>0.371063681390832</v>
      </c>
      <c r="H10" s="3">
        <f t="shared" si="2"/>
        <v>-0.4305515510229028</v>
      </c>
      <c r="K10">
        <v>0.23</v>
      </c>
      <c r="L10">
        <v>0.71</v>
      </c>
      <c r="O10" s="5"/>
      <c r="R10" s="5"/>
    </row>
    <row r="11" spans="1:18" ht="12.75">
      <c r="A11" t="s">
        <v>601</v>
      </c>
      <c r="B11">
        <v>0.7</v>
      </c>
      <c r="C11" s="5">
        <v>15</v>
      </c>
      <c r="D11" s="5">
        <f>B11*C11</f>
        <v>10.5</v>
      </c>
      <c r="E11">
        <v>0.36</v>
      </c>
      <c r="F11" s="3">
        <f t="shared" si="0"/>
        <v>-0.44369749923271273</v>
      </c>
      <c r="G11" s="3">
        <f t="shared" si="1"/>
        <v>0.44628710262841953</v>
      </c>
      <c r="H11" s="3">
        <f t="shared" si="2"/>
        <v>-0.350385663771713</v>
      </c>
      <c r="K11">
        <v>0.27</v>
      </c>
      <c r="L11">
        <v>0.7</v>
      </c>
      <c r="O11" s="5"/>
      <c r="R11" s="5"/>
    </row>
    <row r="12" spans="1:18" ht="12.75">
      <c r="A12" t="s">
        <v>601</v>
      </c>
      <c r="B12">
        <v>0.63</v>
      </c>
      <c r="C12" s="5">
        <v>15</v>
      </c>
      <c r="D12" s="5">
        <f>B12*C12</f>
        <v>9.45</v>
      </c>
      <c r="E12">
        <v>0.33</v>
      </c>
      <c r="F12" s="3">
        <f t="shared" si="0"/>
        <v>-0.48148606012211254</v>
      </c>
      <c r="G12" s="3">
        <f t="shared" si="1"/>
        <v>0.4004775665971254</v>
      </c>
      <c r="H12" s="3">
        <f t="shared" si="2"/>
        <v>-0.3974218066108305</v>
      </c>
      <c r="K12">
        <v>0.28</v>
      </c>
      <c r="L12">
        <v>0.53</v>
      </c>
      <c r="O12" s="5"/>
      <c r="R12" s="5"/>
    </row>
    <row r="13" spans="1:18" ht="12.75">
      <c r="A13" t="s">
        <v>614</v>
      </c>
      <c r="B13">
        <v>0.67</v>
      </c>
      <c r="C13" s="5">
        <v>9.523809523809524</v>
      </c>
      <c r="D13" s="5">
        <v>6.4</v>
      </c>
      <c r="E13">
        <v>0.44</v>
      </c>
      <c r="F13" s="3">
        <f t="shared" si="0"/>
        <v>-0.3565473235138126</v>
      </c>
      <c r="G13" s="3">
        <f t="shared" si="1"/>
        <v>0.579818495252942</v>
      </c>
      <c r="H13" s="3">
        <f t="shared" si="2"/>
        <v>-0.2367079354829482</v>
      </c>
      <c r="K13">
        <v>0.29</v>
      </c>
      <c r="L13">
        <v>0.7</v>
      </c>
      <c r="O13" s="5"/>
      <c r="R13" s="5"/>
    </row>
    <row r="14" spans="1:18" ht="12.75">
      <c r="A14" t="s">
        <v>614</v>
      </c>
      <c r="B14">
        <v>0.7</v>
      </c>
      <c r="C14" s="5">
        <v>15</v>
      </c>
      <c r="D14" s="5">
        <f>B14*C14</f>
        <v>10.5</v>
      </c>
      <c r="E14">
        <v>0.31</v>
      </c>
      <c r="F14" s="3">
        <f t="shared" si="0"/>
        <v>-0.5086383061657272</v>
      </c>
      <c r="G14" s="3">
        <f t="shared" si="1"/>
        <v>0.371063681390832</v>
      </c>
      <c r="H14" s="3">
        <f t="shared" si="2"/>
        <v>-0.4305515510229028</v>
      </c>
      <c r="K14">
        <v>0.29</v>
      </c>
      <c r="L14">
        <v>0.8</v>
      </c>
      <c r="O14" s="5"/>
      <c r="R14" s="5"/>
    </row>
    <row r="15" spans="1:18" ht="12.75">
      <c r="A15" t="s">
        <v>614</v>
      </c>
      <c r="B15">
        <v>0.71</v>
      </c>
      <c r="C15" s="5">
        <v>15</v>
      </c>
      <c r="D15" s="5">
        <f>B15*C15</f>
        <v>10.649999999999999</v>
      </c>
      <c r="E15">
        <v>0.31</v>
      </c>
      <c r="F15" s="3">
        <f t="shared" si="0"/>
        <v>-0.5086383061657272</v>
      </c>
      <c r="G15" s="3">
        <f t="shared" si="1"/>
        <v>0.371063681390832</v>
      </c>
      <c r="H15" s="3">
        <f t="shared" si="2"/>
        <v>-0.4305515510229028</v>
      </c>
      <c r="K15">
        <v>0.29</v>
      </c>
      <c r="L15">
        <v>0.49</v>
      </c>
      <c r="O15" s="5"/>
      <c r="R15" s="5"/>
    </row>
    <row r="16" spans="1:18" ht="12.75">
      <c r="A16" t="s">
        <v>470</v>
      </c>
      <c r="B16">
        <v>0.71</v>
      </c>
      <c r="C16" s="5">
        <v>13.636363636363635</v>
      </c>
      <c r="D16" s="5">
        <v>9.6</v>
      </c>
      <c r="E16">
        <v>0.23</v>
      </c>
      <c r="F16" s="3">
        <f t="shared" si="0"/>
        <v>-0.6382721639824072</v>
      </c>
      <c r="G16" s="3">
        <f t="shared" si="1"/>
        <v>0.2613647641344075</v>
      </c>
      <c r="H16" s="3">
        <f t="shared" si="2"/>
        <v>-0.5827529621780622</v>
      </c>
      <c r="K16">
        <v>0.31</v>
      </c>
      <c r="L16">
        <v>0.63</v>
      </c>
      <c r="O16" s="5"/>
      <c r="R16" s="5"/>
    </row>
    <row r="17" spans="1:18" ht="12.75">
      <c r="A17" t="s">
        <v>526</v>
      </c>
      <c r="B17">
        <v>0.99</v>
      </c>
      <c r="C17" s="5">
        <v>11.538461538461538</v>
      </c>
      <c r="D17" s="5">
        <v>11.3</v>
      </c>
      <c r="E17">
        <v>0.38</v>
      </c>
      <c r="F17" s="3">
        <f t="shared" si="0"/>
        <v>-0.4202164033831898</v>
      </c>
      <c r="G17" s="3">
        <f t="shared" si="1"/>
        <v>0.4780358009429998</v>
      </c>
      <c r="H17" s="3">
        <f t="shared" si="2"/>
        <v>-0.32053957709130587</v>
      </c>
      <c r="K17">
        <v>0.31</v>
      </c>
      <c r="L17">
        <v>0.7</v>
      </c>
      <c r="O17" s="5"/>
      <c r="R17" s="5"/>
    </row>
    <row r="18" spans="1:18" ht="12.75">
      <c r="A18" t="s">
        <v>526</v>
      </c>
      <c r="B18">
        <v>0.7</v>
      </c>
      <c r="C18" s="5">
        <v>15</v>
      </c>
      <c r="D18" s="5">
        <f>B18*C18</f>
        <v>10.5</v>
      </c>
      <c r="E18">
        <v>0.27</v>
      </c>
      <c r="F18" s="3">
        <f t="shared" si="0"/>
        <v>-0.5686362358410126</v>
      </c>
      <c r="G18" s="3">
        <f t="shared" si="1"/>
        <v>0.31471074483970024</v>
      </c>
      <c r="H18" s="3">
        <f t="shared" si="2"/>
        <v>-0.5020884291715288</v>
      </c>
      <c r="K18">
        <v>0.31</v>
      </c>
      <c r="L18">
        <v>0.71</v>
      </c>
      <c r="O18" s="5"/>
      <c r="R18" s="5"/>
    </row>
    <row r="19" spans="1:18" ht="12.75">
      <c r="A19" t="s">
        <v>526</v>
      </c>
      <c r="B19">
        <v>1</v>
      </c>
      <c r="C19" s="5">
        <v>15</v>
      </c>
      <c r="D19" s="5">
        <f>B19*C19</f>
        <v>15</v>
      </c>
      <c r="E19">
        <v>0.31</v>
      </c>
      <c r="F19" s="3">
        <f t="shared" si="0"/>
        <v>-0.5086383061657272</v>
      </c>
      <c r="G19" s="3">
        <f t="shared" si="1"/>
        <v>0.371063681390832</v>
      </c>
      <c r="H19" s="3">
        <f t="shared" si="2"/>
        <v>-0.4305515510229028</v>
      </c>
      <c r="K19">
        <v>0.31</v>
      </c>
      <c r="L19">
        <v>1</v>
      </c>
      <c r="O19" s="5"/>
      <c r="R19" s="5"/>
    </row>
    <row r="20" spans="1:18" ht="12.75">
      <c r="A20" t="s">
        <v>422</v>
      </c>
      <c r="B20">
        <v>0.8</v>
      </c>
      <c r="C20" s="5">
        <v>13.333333333333334</v>
      </c>
      <c r="D20" s="5">
        <v>10.7</v>
      </c>
      <c r="E20">
        <v>0.29</v>
      </c>
      <c r="F20" s="3">
        <f t="shared" si="0"/>
        <v>-0.5376020021010439</v>
      </c>
      <c r="G20" s="3">
        <f t="shared" si="1"/>
        <v>0.342490308946776</v>
      </c>
      <c r="H20" s="3">
        <f t="shared" si="2"/>
        <v>-0.46535171272771275</v>
      </c>
      <c r="K20">
        <v>0.33</v>
      </c>
      <c r="L20">
        <v>0.63</v>
      </c>
      <c r="O20" s="5"/>
      <c r="R20" s="5"/>
    </row>
    <row r="21" spans="1:18" ht="12.75">
      <c r="A21" t="s">
        <v>423</v>
      </c>
      <c r="B21">
        <v>0.45</v>
      </c>
      <c r="C21" s="5">
        <v>22.22222222222222</v>
      </c>
      <c r="D21" s="5">
        <v>9.8</v>
      </c>
      <c r="E21">
        <v>0.04</v>
      </c>
      <c r="F21" s="3">
        <f t="shared" si="0"/>
        <v>-1.3979400086720375</v>
      </c>
      <c r="G21" s="3">
        <f t="shared" si="1"/>
        <v>0.040821994520255166</v>
      </c>
      <c r="H21" s="3">
        <f t="shared" si="2"/>
        <v>-1.3891057799242237</v>
      </c>
      <c r="K21">
        <v>0.33</v>
      </c>
      <c r="L21">
        <v>0.65</v>
      </c>
      <c r="O21" s="5"/>
      <c r="R21" s="5"/>
    </row>
    <row r="22" spans="1:18" ht="12.75">
      <c r="A22" t="s">
        <v>423</v>
      </c>
      <c r="B22">
        <v>0.7</v>
      </c>
      <c r="C22" s="5">
        <v>15</v>
      </c>
      <c r="D22" s="5">
        <f>B22*C22</f>
        <v>10.5</v>
      </c>
      <c r="E22">
        <v>0.35</v>
      </c>
      <c r="F22" s="3">
        <f t="shared" si="0"/>
        <v>-0.45593195564972444</v>
      </c>
      <c r="G22" s="3">
        <f t="shared" si="1"/>
        <v>0.43078291609245417</v>
      </c>
      <c r="H22" s="3">
        <f t="shared" si="2"/>
        <v>-0.36574152820110817</v>
      </c>
      <c r="K22">
        <v>0.35</v>
      </c>
      <c r="L22">
        <v>0.7</v>
      </c>
      <c r="O22" s="5"/>
      <c r="R22" s="5"/>
    </row>
    <row r="23" spans="1:18" ht="12.75">
      <c r="A23" t="s">
        <v>423</v>
      </c>
      <c r="B23">
        <v>0.49</v>
      </c>
      <c r="C23" s="5">
        <v>15</v>
      </c>
      <c r="D23" s="5">
        <f>B23*C23</f>
        <v>7.35</v>
      </c>
      <c r="E23">
        <v>0.29</v>
      </c>
      <c r="F23" s="3">
        <f t="shared" si="0"/>
        <v>-0.5376020021010439</v>
      </c>
      <c r="G23" s="3">
        <f t="shared" si="1"/>
        <v>0.342490308946776</v>
      </c>
      <c r="H23" s="3">
        <f t="shared" si="2"/>
        <v>-0.46535171272771275</v>
      </c>
      <c r="K23">
        <v>0.36</v>
      </c>
      <c r="L23">
        <v>0.7</v>
      </c>
      <c r="O23" s="5"/>
      <c r="R23" s="5"/>
    </row>
    <row r="24" spans="1:18" ht="12.75">
      <c r="A24" t="s">
        <v>424</v>
      </c>
      <c r="B24">
        <v>0.51</v>
      </c>
      <c r="C24" s="5">
        <v>19.35483870967742</v>
      </c>
      <c r="D24" s="5">
        <v>10</v>
      </c>
      <c r="E24">
        <v>0.14</v>
      </c>
      <c r="F24" s="3">
        <f t="shared" si="0"/>
        <v>-0.8538719643217619</v>
      </c>
      <c r="G24" s="3">
        <f t="shared" si="1"/>
        <v>0.15082288973458366</v>
      </c>
      <c r="H24" s="3">
        <f t="shared" si="2"/>
        <v>-0.8215327424779075</v>
      </c>
      <c r="K24">
        <v>0.38</v>
      </c>
      <c r="L24">
        <v>0.99</v>
      </c>
      <c r="O24" s="5"/>
      <c r="R24" s="5"/>
    </row>
    <row r="25" spans="1:18" ht="12.75">
      <c r="A25" t="s">
        <v>425</v>
      </c>
      <c r="B25">
        <v>0.65</v>
      </c>
      <c r="C25" s="5">
        <v>12.76595744680851</v>
      </c>
      <c r="D25" s="5">
        <v>8.3</v>
      </c>
      <c r="E25">
        <v>0.33</v>
      </c>
      <c r="F25" s="3">
        <f t="shared" si="0"/>
        <v>-0.48148606012211254</v>
      </c>
      <c r="G25" s="3">
        <f t="shared" si="1"/>
        <v>0.4004775665971254</v>
      </c>
      <c r="H25" s="3">
        <f t="shared" si="2"/>
        <v>-0.3974218066108305</v>
      </c>
      <c r="K25">
        <v>0.44</v>
      </c>
      <c r="L25">
        <v>0.67</v>
      </c>
      <c r="O25" s="5"/>
      <c r="R25" s="5"/>
    </row>
    <row r="26" spans="6:11" ht="12.75">
      <c r="F26" s="3" t="s">
        <v>384</v>
      </c>
      <c r="H26" s="3" t="s">
        <v>384</v>
      </c>
      <c r="K26" t="s">
        <v>106</v>
      </c>
    </row>
    <row r="27" spans="6:12" ht="12.75">
      <c r="F27" s="6">
        <f>STDEV(F4:F25)</f>
        <v>0.22139631068576218</v>
      </c>
      <c r="H27" s="6">
        <f>STDEV(H4:H25)</f>
        <v>0.24518535390449472</v>
      </c>
      <c r="K27">
        <f>CORREL(K4:K25,L4:L25)</f>
        <v>0.46385656857023244</v>
      </c>
      <c r="L27">
        <f>POWER(K27,2)</f>
        <v>0.21516291620575076</v>
      </c>
    </row>
    <row r="28" spans="6:8" ht="12.75">
      <c r="F28" t="s">
        <v>316</v>
      </c>
      <c r="H28" t="s">
        <v>316</v>
      </c>
    </row>
    <row r="29" spans="6:8" ht="12.75">
      <c r="F29">
        <f>AVERAGE(E4:E25)</f>
        <v>0.26999999999999996</v>
      </c>
      <c r="H29" s="3">
        <f>AVERAGE(G4:G25)</f>
        <v>0.32223399424916727</v>
      </c>
    </row>
    <row r="30" spans="6:8" ht="12.75">
      <c r="F30" t="s">
        <v>331</v>
      </c>
      <c r="H30" t="s">
        <v>331</v>
      </c>
    </row>
    <row r="31" spans="6:15" ht="12.75">
      <c r="F31" s="3">
        <f>STDEV(E4:E25)</f>
        <v>0.09304376850247897</v>
      </c>
      <c r="H31" s="3">
        <f>STDEV(G4:G25)</f>
        <v>0.12479772959497919</v>
      </c>
      <c r="O31" s="5"/>
    </row>
    <row r="32" spans="6:15" ht="12.75">
      <c r="F32" t="s">
        <v>126</v>
      </c>
      <c r="H32" t="s">
        <v>126</v>
      </c>
      <c r="O32" s="5"/>
    </row>
    <row r="33" spans="6:15" ht="12.75">
      <c r="F33" s="3">
        <f>EXP(SQRT(LN(POWER(F31,2)/POWER(F29,2)+1)))</f>
        <v>1.3979200937217096</v>
      </c>
      <c r="H33" s="3">
        <f>EXP(SQRT(LN(POWER(H31,2)/POWER(H29,2)+1)))</f>
        <v>1.4533034565447434</v>
      </c>
      <c r="O33" s="5"/>
    </row>
    <row r="34" spans="6:15" ht="12.75">
      <c r="F34" t="s">
        <v>384</v>
      </c>
      <c r="H34" t="s">
        <v>384</v>
      </c>
      <c r="O34" s="5"/>
    </row>
    <row r="35" spans="6:15" ht="12.75">
      <c r="F35" s="13">
        <f>LOG10(F33)</f>
        <v>0.14548234748438782</v>
      </c>
      <c r="H35" s="13">
        <f>LOG10(H33)</f>
        <v>0.16235630648163477</v>
      </c>
      <c r="O35" s="5"/>
    </row>
    <row r="36" spans="6:15" ht="12.75">
      <c r="F36" s="85" t="s">
        <v>323</v>
      </c>
      <c r="H36" s="85" t="s">
        <v>323</v>
      </c>
      <c r="O36" s="5"/>
    </row>
    <row r="37" spans="6:15" ht="12.75">
      <c r="F37" s="86">
        <f>F27/F35</f>
        <v>1.5218087590284515</v>
      </c>
      <c r="H37" s="86">
        <f>H27/H35</f>
        <v>1.5101683403485735</v>
      </c>
      <c r="O37" s="5"/>
    </row>
    <row r="38" ht="12.75">
      <c r="O38" s="5"/>
    </row>
    <row r="39" spans="1:15" ht="12.75">
      <c r="A39" t="s">
        <v>430</v>
      </c>
      <c r="O39" s="5"/>
    </row>
    <row r="40" spans="1:15" ht="12.75">
      <c r="A40" t="s">
        <v>520</v>
      </c>
      <c r="B40" t="s">
        <v>185</v>
      </c>
      <c r="C40" t="s">
        <v>426</v>
      </c>
      <c r="D40" t="s">
        <v>354</v>
      </c>
      <c r="E40" t="s">
        <v>428</v>
      </c>
      <c r="F40" t="s">
        <v>312</v>
      </c>
      <c r="G40" t="s">
        <v>174</v>
      </c>
      <c r="K40" t="s">
        <v>428</v>
      </c>
      <c r="L40" t="s">
        <v>185</v>
      </c>
      <c r="O40" s="5"/>
    </row>
    <row r="41" spans="1:12" ht="12.75">
      <c r="A41" t="s">
        <v>599</v>
      </c>
      <c r="B41">
        <v>0.7</v>
      </c>
      <c r="C41" s="5">
        <v>14.634146341463415</v>
      </c>
      <c r="D41" s="5">
        <v>10.2</v>
      </c>
      <c r="E41">
        <v>0.17</v>
      </c>
      <c r="F41" s="3">
        <f aca="true" t="shared" si="3" ref="F41:F50">LOG10(E41)</f>
        <v>-0.769551078621726</v>
      </c>
      <c r="G41" s="3">
        <f aca="true" t="shared" si="4" ref="G41:G50">-LN(1-E41)</f>
        <v>0.18632957819149348</v>
      </c>
      <c r="H41" s="3">
        <f aca="true" t="shared" si="5" ref="H41:H50">LOG10(G41)</f>
        <v>-0.7297181991792839</v>
      </c>
      <c r="K41">
        <v>0.17</v>
      </c>
      <c r="L41">
        <v>0.7</v>
      </c>
    </row>
    <row r="42" spans="1:12" ht="12.75">
      <c r="A42" t="s">
        <v>600</v>
      </c>
      <c r="B42">
        <v>0.55</v>
      </c>
      <c r="C42" s="5">
        <v>18.75</v>
      </c>
      <c r="D42" s="5">
        <v>10.5</v>
      </c>
      <c r="E42">
        <v>0.17</v>
      </c>
      <c r="F42" s="3">
        <f t="shared" si="3"/>
        <v>-0.769551078621726</v>
      </c>
      <c r="G42" s="3">
        <f t="shared" si="4"/>
        <v>0.18632957819149348</v>
      </c>
      <c r="H42" s="3">
        <f t="shared" si="5"/>
        <v>-0.7297181991792839</v>
      </c>
      <c r="K42">
        <v>0.17</v>
      </c>
      <c r="L42">
        <v>0.55</v>
      </c>
    </row>
    <row r="43" spans="1:12" ht="12.75">
      <c r="A43" t="s">
        <v>601</v>
      </c>
      <c r="B43">
        <v>0.63</v>
      </c>
      <c r="C43" s="5">
        <v>12.244897959183673</v>
      </c>
      <c r="D43" s="5">
        <v>7.7</v>
      </c>
      <c r="E43">
        <v>0.31</v>
      </c>
      <c r="F43" s="3">
        <f t="shared" si="3"/>
        <v>-0.5086383061657272</v>
      </c>
      <c r="G43" s="3">
        <f t="shared" si="4"/>
        <v>0.371063681390832</v>
      </c>
      <c r="H43" s="3">
        <f t="shared" si="5"/>
        <v>-0.4305515510229028</v>
      </c>
      <c r="K43">
        <v>0.31</v>
      </c>
      <c r="L43">
        <v>0.63</v>
      </c>
    </row>
    <row r="44" spans="1:12" ht="12.75">
      <c r="A44" t="s">
        <v>614</v>
      </c>
      <c r="B44">
        <v>0.67</v>
      </c>
      <c r="C44" s="5">
        <v>9.523809523809524</v>
      </c>
      <c r="D44" s="5">
        <v>6.4</v>
      </c>
      <c r="E44">
        <v>0.44</v>
      </c>
      <c r="F44" s="3">
        <f t="shared" si="3"/>
        <v>-0.3565473235138126</v>
      </c>
      <c r="G44" s="3">
        <f t="shared" si="4"/>
        <v>0.579818495252942</v>
      </c>
      <c r="H44" s="3">
        <f t="shared" si="5"/>
        <v>-0.2367079354829482</v>
      </c>
      <c r="K44">
        <v>0.44</v>
      </c>
      <c r="L44">
        <v>0.67</v>
      </c>
    </row>
    <row r="45" spans="1:12" ht="12.75">
      <c r="A45" t="s">
        <v>470</v>
      </c>
      <c r="B45">
        <v>0.71</v>
      </c>
      <c r="C45" s="5">
        <v>13.636363636363635</v>
      </c>
      <c r="D45" s="5">
        <v>9.6</v>
      </c>
      <c r="E45">
        <v>0.23</v>
      </c>
      <c r="F45" s="3">
        <f t="shared" si="3"/>
        <v>-0.6382721639824072</v>
      </c>
      <c r="G45" s="3">
        <f t="shared" si="4"/>
        <v>0.2613647641344075</v>
      </c>
      <c r="H45" s="3">
        <f t="shared" si="5"/>
        <v>-0.5827529621780622</v>
      </c>
      <c r="K45">
        <v>0.23</v>
      </c>
      <c r="L45">
        <v>0.71</v>
      </c>
    </row>
    <row r="46" spans="1:12" ht="12.75">
      <c r="A46" t="s">
        <v>526</v>
      </c>
      <c r="B46">
        <v>0.99</v>
      </c>
      <c r="C46" s="5">
        <v>11.538461538461538</v>
      </c>
      <c r="D46" s="5">
        <v>11.3</v>
      </c>
      <c r="E46">
        <v>0.38</v>
      </c>
      <c r="F46" s="3">
        <f t="shared" si="3"/>
        <v>-0.4202164033831898</v>
      </c>
      <c r="G46" s="3">
        <f t="shared" si="4"/>
        <v>0.4780358009429998</v>
      </c>
      <c r="H46" s="3">
        <f t="shared" si="5"/>
        <v>-0.32053957709130587</v>
      </c>
      <c r="K46">
        <v>0.38</v>
      </c>
      <c r="L46">
        <v>0.99</v>
      </c>
    </row>
    <row r="47" spans="1:12" ht="12.75">
      <c r="A47" t="s">
        <v>422</v>
      </c>
      <c r="B47">
        <v>0.8</v>
      </c>
      <c r="C47" s="5">
        <v>13.333333333333334</v>
      </c>
      <c r="D47" s="5">
        <v>10.7</v>
      </c>
      <c r="E47">
        <v>0.29</v>
      </c>
      <c r="F47" s="3">
        <f t="shared" si="3"/>
        <v>-0.5376020021010439</v>
      </c>
      <c r="G47" s="3">
        <f t="shared" si="4"/>
        <v>0.342490308946776</v>
      </c>
      <c r="H47" s="3">
        <f t="shared" si="5"/>
        <v>-0.46535171272771275</v>
      </c>
      <c r="K47">
        <v>0.29</v>
      </c>
      <c r="L47">
        <v>0.8</v>
      </c>
    </row>
    <row r="48" spans="1:12" ht="12.75">
      <c r="A48" t="s">
        <v>423</v>
      </c>
      <c r="B48">
        <v>0.45</v>
      </c>
      <c r="C48" s="5">
        <v>22.22222222222222</v>
      </c>
      <c r="D48" s="5">
        <v>9.8</v>
      </c>
      <c r="E48">
        <v>0.04</v>
      </c>
      <c r="F48" s="3">
        <f t="shared" si="3"/>
        <v>-1.3979400086720375</v>
      </c>
      <c r="G48" s="3">
        <f t="shared" si="4"/>
        <v>0.040821994520255166</v>
      </c>
      <c r="H48" s="3">
        <f t="shared" si="5"/>
        <v>-1.3891057799242237</v>
      </c>
      <c r="K48">
        <v>0.04</v>
      </c>
      <c r="L48">
        <v>0.45</v>
      </c>
    </row>
    <row r="49" spans="1:12" ht="12.75">
      <c r="A49" t="s">
        <v>424</v>
      </c>
      <c r="B49">
        <v>0.51</v>
      </c>
      <c r="C49" s="5">
        <v>19.35483870967742</v>
      </c>
      <c r="D49" s="5">
        <v>10</v>
      </c>
      <c r="E49">
        <v>0.14</v>
      </c>
      <c r="F49" s="3">
        <f t="shared" si="3"/>
        <v>-0.8538719643217619</v>
      </c>
      <c r="G49" s="3">
        <f t="shared" si="4"/>
        <v>0.15082288973458366</v>
      </c>
      <c r="H49" s="3">
        <f t="shared" si="5"/>
        <v>-0.8215327424779075</v>
      </c>
      <c r="K49">
        <v>0.14</v>
      </c>
      <c r="L49">
        <v>0.51</v>
      </c>
    </row>
    <row r="50" spans="1:12" ht="12.75">
      <c r="A50" t="s">
        <v>425</v>
      </c>
      <c r="B50">
        <v>0.65</v>
      </c>
      <c r="C50" s="5">
        <v>12.76595744680851</v>
      </c>
      <c r="D50" s="5">
        <v>8.3</v>
      </c>
      <c r="E50">
        <v>0.33</v>
      </c>
      <c r="F50" s="3">
        <f t="shared" si="3"/>
        <v>-0.48148606012211254</v>
      </c>
      <c r="G50" s="3">
        <f t="shared" si="4"/>
        <v>0.4004775665971254</v>
      </c>
      <c r="H50" s="3">
        <f t="shared" si="5"/>
        <v>-0.3974218066108305</v>
      </c>
      <c r="K50">
        <v>0.33</v>
      </c>
      <c r="L50">
        <v>0.65</v>
      </c>
    </row>
    <row r="51" spans="6:11" ht="12.75">
      <c r="F51" s="3" t="s">
        <v>384</v>
      </c>
      <c r="H51" s="3" t="s">
        <v>384</v>
      </c>
      <c r="K51" t="s">
        <v>106</v>
      </c>
    </row>
    <row r="52" spans="6:11" ht="12.75">
      <c r="F52" s="94">
        <f>STDEV(F41:F50)</f>
        <v>0.302612402037843</v>
      </c>
      <c r="G52" s="2"/>
      <c r="H52" s="178">
        <f>STDEV(H41:H50)</f>
        <v>0.333767503852582</v>
      </c>
      <c r="K52">
        <f>CORREL(K41:K50,L41:L50)</f>
        <v>0.6703739759065228</v>
      </c>
    </row>
    <row r="53" spans="6:8" ht="12.75">
      <c r="F53" t="s">
        <v>316</v>
      </c>
      <c r="H53" t="s">
        <v>316</v>
      </c>
    </row>
    <row r="54" spans="6:8" ht="12.75">
      <c r="F54">
        <f>AVERAGE(E41:E50)</f>
        <v>0.25000000000000006</v>
      </c>
      <c r="H54" s="3">
        <f>AVERAGE(G41:G50)</f>
        <v>0.29975546579029083</v>
      </c>
    </row>
    <row r="55" spans="6:8" ht="12.75">
      <c r="F55" t="s">
        <v>331</v>
      </c>
      <c r="H55" t="s">
        <v>331</v>
      </c>
    </row>
    <row r="56" spans="6:8" ht="12.75">
      <c r="F56" s="3">
        <f>STDEV(E41:E50)</f>
        <v>0.12202003478482075</v>
      </c>
      <c r="H56" s="3">
        <f>STDEV(G41:G50)</f>
        <v>0.1645557700396115</v>
      </c>
    </row>
    <row r="57" spans="6:8" ht="12.75">
      <c r="F57" t="s">
        <v>126</v>
      </c>
      <c r="H57" t="s">
        <v>126</v>
      </c>
    </row>
    <row r="58" spans="6:8" ht="12.75">
      <c r="F58" s="3">
        <f>EXP(SQRT(LN(POWER(F56,2)/POWER(F54,2)+1)))</f>
        <v>1.587644906063364</v>
      </c>
      <c r="H58" s="3">
        <f>EXP(SQRT(LN(POWER(H56,2)/POWER(H54,2)+1)))</f>
        <v>1.6706922126807977</v>
      </c>
    </row>
    <row r="59" spans="6:8" ht="12.75">
      <c r="F59" t="s">
        <v>384</v>
      </c>
      <c r="H59" t="s">
        <v>384</v>
      </c>
    </row>
    <row r="60" spans="6:8" ht="12.75">
      <c r="F60" s="13">
        <f>LOG10(F58)</f>
        <v>0.20075337429893897</v>
      </c>
      <c r="H60" s="13">
        <f>LOG10(H58)</f>
        <v>0.2228964483096428</v>
      </c>
    </row>
    <row r="61" spans="6:8" ht="12.75">
      <c r="F61" s="85"/>
      <c r="H61" s="85"/>
    </row>
    <row r="62" spans="6:8" ht="12.75">
      <c r="F62" s="86"/>
      <c r="H62" s="86"/>
    </row>
    <row r="69" ht="12.75">
      <c r="A69" t="s">
        <v>174</v>
      </c>
    </row>
    <row r="70" spans="1:5" ht="12.75">
      <c r="A70">
        <v>0.18632957819149348</v>
      </c>
      <c r="B70">
        <v>-0.7297181991792839</v>
      </c>
      <c r="C70">
        <v>1</v>
      </c>
      <c r="D70">
        <f>(C70-(3/8))/10.25</f>
        <v>0.06097560975609756</v>
      </c>
      <c r="E70">
        <f>NORMSINV(D70)</f>
        <v>-1.5466366676264443</v>
      </c>
    </row>
    <row r="71" spans="1:5" ht="12.75">
      <c r="A71">
        <v>0.18632957819149348</v>
      </c>
      <c r="B71">
        <v>-0.7297181991792839</v>
      </c>
      <c r="C71">
        <v>2</v>
      </c>
      <c r="D71">
        <f aca="true" t="shared" si="6" ref="D71:D79">(C71-(3/8))/10.25</f>
        <v>0.15853658536585366</v>
      </c>
      <c r="E71">
        <f aca="true" t="shared" si="7" ref="E71:E79">NORMSINV(D71)</f>
        <v>-1.0004896466853097</v>
      </c>
    </row>
    <row r="72" spans="1:5" ht="12.75">
      <c r="A72">
        <v>0.371063681390832</v>
      </c>
      <c r="B72">
        <v>-0.4305515510229028</v>
      </c>
      <c r="C72">
        <v>3</v>
      </c>
      <c r="D72">
        <f t="shared" si="6"/>
        <v>0.25609756097560976</v>
      </c>
      <c r="E72">
        <f t="shared" si="7"/>
        <v>-0.6554228093591519</v>
      </c>
    </row>
    <row r="73" spans="1:5" ht="12.75">
      <c r="A73">
        <v>0.579818495252942</v>
      </c>
      <c r="B73">
        <v>-0.2367079354829482</v>
      </c>
      <c r="C73">
        <v>4</v>
      </c>
      <c r="D73">
        <f t="shared" si="6"/>
        <v>0.35365853658536583</v>
      </c>
      <c r="E73">
        <f t="shared" si="7"/>
        <v>-0.3754621502594091</v>
      </c>
    </row>
    <row r="74" spans="1:5" ht="12.75">
      <c r="A74">
        <v>0.2613647641344075</v>
      </c>
      <c r="B74">
        <v>-0.5827529621780622</v>
      </c>
      <c r="C74">
        <v>5</v>
      </c>
      <c r="D74">
        <f t="shared" si="6"/>
        <v>0.45121951219512196</v>
      </c>
      <c r="E74">
        <f t="shared" si="7"/>
        <v>-0.12258055903657805</v>
      </c>
    </row>
    <row r="75" spans="1:5" ht="12.75">
      <c r="A75">
        <v>0.4780358009429998</v>
      </c>
      <c r="B75">
        <v>-0.32053957709130587</v>
      </c>
      <c r="C75">
        <v>6</v>
      </c>
      <c r="D75">
        <f t="shared" si="6"/>
        <v>0.5487804878048781</v>
      </c>
      <c r="E75">
        <f t="shared" si="7"/>
        <v>0.12258055903657805</v>
      </c>
    </row>
    <row r="76" spans="1:5" ht="12.75">
      <c r="A76">
        <v>0.342490308946776</v>
      </c>
      <c r="B76">
        <v>-0.46535171272771275</v>
      </c>
      <c r="C76">
        <v>7</v>
      </c>
      <c r="D76">
        <f t="shared" si="6"/>
        <v>0.6463414634146342</v>
      </c>
      <c r="E76">
        <f t="shared" si="7"/>
        <v>0.3754621502594091</v>
      </c>
    </row>
    <row r="77" spans="1:5" ht="12.75">
      <c r="A77">
        <v>0.040821994520255166</v>
      </c>
      <c r="B77">
        <v>-1.3891057799242237</v>
      </c>
      <c r="C77">
        <v>8</v>
      </c>
      <c r="D77">
        <f t="shared" si="6"/>
        <v>0.7439024390243902</v>
      </c>
      <c r="E77">
        <f t="shared" si="7"/>
        <v>0.6554228093591519</v>
      </c>
    </row>
    <row r="78" spans="1:5" ht="12.75">
      <c r="A78">
        <v>0.15082288973458366</v>
      </c>
      <c r="B78">
        <v>-0.8215327424779075</v>
      </c>
      <c r="C78">
        <v>9</v>
      </c>
      <c r="D78">
        <f t="shared" si="6"/>
        <v>0.8414634146341463</v>
      </c>
      <c r="E78">
        <f t="shared" si="7"/>
        <v>1.0004896466853097</v>
      </c>
    </row>
    <row r="79" spans="1:5" ht="12.75">
      <c r="A79">
        <v>0.4004775665971254</v>
      </c>
      <c r="B79">
        <v>-0.3974218066108305</v>
      </c>
      <c r="C79">
        <v>10</v>
      </c>
      <c r="D79">
        <f t="shared" si="6"/>
        <v>0.9390243902439024</v>
      </c>
      <c r="E79">
        <f t="shared" si="7"/>
        <v>1.5466366676264443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18"/>
  <sheetViews>
    <sheetView workbookViewId="0" topLeftCell="A1">
      <selection activeCell="A3" sqref="A3"/>
    </sheetView>
  </sheetViews>
  <sheetFormatPr defaultColWidth="11.00390625" defaultRowHeight="12"/>
  <sheetData>
    <row r="1" spans="1:16" ht="18.75">
      <c r="A1" s="36" t="s">
        <v>321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9"/>
      <c r="O1" s="29"/>
      <c r="P1" s="29"/>
    </row>
    <row r="2" ht="12.75">
      <c r="A2" s="1"/>
    </row>
    <row r="3" ht="12.75">
      <c r="A3" s="1"/>
    </row>
    <row r="5" spans="1:21" ht="12.75">
      <c r="A5" t="s">
        <v>342</v>
      </c>
      <c r="B5" t="s">
        <v>406</v>
      </c>
      <c r="C5" t="s">
        <v>451</v>
      </c>
      <c r="D5" t="s">
        <v>171</v>
      </c>
      <c r="F5" t="s">
        <v>162</v>
      </c>
      <c r="G5" t="s">
        <v>163</v>
      </c>
      <c r="H5" t="s">
        <v>427</v>
      </c>
      <c r="I5" t="s">
        <v>164</v>
      </c>
      <c r="J5" t="s">
        <v>165</v>
      </c>
      <c r="K5" t="s">
        <v>166</v>
      </c>
      <c r="L5" t="s">
        <v>508</v>
      </c>
      <c r="M5" t="s">
        <v>509</v>
      </c>
      <c r="N5" t="s">
        <v>510</v>
      </c>
      <c r="O5" t="s">
        <v>511</v>
      </c>
      <c r="P5" t="s">
        <v>512</v>
      </c>
      <c r="Q5" t="s">
        <v>513</v>
      </c>
      <c r="R5" t="s">
        <v>514</v>
      </c>
      <c r="S5" t="s">
        <v>515</v>
      </c>
      <c r="T5" t="s">
        <v>516</v>
      </c>
      <c r="U5" t="s">
        <v>517</v>
      </c>
    </row>
    <row r="6" spans="1:25" ht="12.75">
      <c r="A6">
        <v>200</v>
      </c>
      <c r="B6" s="3">
        <v>0.24</v>
      </c>
      <c r="C6" s="3">
        <v>-0.619788758288394</v>
      </c>
      <c r="D6" s="3">
        <f>-LN(1-B6)</f>
        <v>0.27443684570176025</v>
      </c>
      <c r="E6" s="3">
        <f>LOG10(D6)</f>
        <v>-0.5615575809729126</v>
      </c>
      <c r="F6">
        <v>0.342</v>
      </c>
      <c r="G6">
        <v>3.75</v>
      </c>
      <c r="H6">
        <f>60/G6</f>
        <v>16</v>
      </c>
      <c r="I6">
        <v>5.47</v>
      </c>
      <c r="J6">
        <v>1.33</v>
      </c>
      <c r="K6">
        <v>1855</v>
      </c>
      <c r="L6">
        <v>0.88</v>
      </c>
      <c r="M6">
        <v>12.5</v>
      </c>
      <c r="N6">
        <v>1</v>
      </c>
      <c r="O6">
        <v>153</v>
      </c>
      <c r="P6">
        <v>1</v>
      </c>
      <c r="Q6">
        <v>3.8</v>
      </c>
      <c r="R6">
        <v>1.48</v>
      </c>
      <c r="S6">
        <v>352</v>
      </c>
      <c r="T6">
        <v>2537</v>
      </c>
      <c r="U6">
        <v>0.97953668</v>
      </c>
      <c r="Y6" t="s">
        <v>28</v>
      </c>
    </row>
    <row r="7" spans="1:21" ht="12.75">
      <c r="A7">
        <v>201</v>
      </c>
      <c r="B7" s="3">
        <v>0.26</v>
      </c>
      <c r="C7" s="3">
        <v>-0.585026652029182</v>
      </c>
      <c r="D7" s="3">
        <f aca="true" t="shared" si="0" ref="D7:D32">-LN(1-B7)</f>
        <v>0.30110509278392167</v>
      </c>
      <c r="E7" s="3">
        <f aca="true" t="shared" si="1" ref="E7:E32">LOG10(D7)</f>
        <v>-0.5212818989234742</v>
      </c>
      <c r="F7">
        <v>0.381</v>
      </c>
      <c r="G7">
        <v>3.08</v>
      </c>
      <c r="H7" s="5">
        <f aca="true" t="shared" si="2" ref="H7:H32">60/G7</f>
        <v>19.48051948051948</v>
      </c>
      <c r="I7">
        <v>7.41</v>
      </c>
      <c r="J7">
        <v>1.9</v>
      </c>
      <c r="K7">
        <v>2140</v>
      </c>
      <c r="L7">
        <v>1.15</v>
      </c>
      <c r="M7">
        <v>13.6</v>
      </c>
      <c r="N7">
        <v>2</v>
      </c>
      <c r="O7">
        <v>163</v>
      </c>
      <c r="P7">
        <v>2</v>
      </c>
      <c r="Q7">
        <v>3.73</v>
      </c>
      <c r="R7">
        <v>1.54</v>
      </c>
      <c r="S7">
        <v>328</v>
      </c>
      <c r="T7">
        <v>3059</v>
      </c>
      <c r="U7">
        <v>1.0886121</v>
      </c>
    </row>
    <row r="8" spans="1:28" ht="12.75">
      <c r="A8">
        <v>202</v>
      </c>
      <c r="B8" s="3">
        <v>0.15</v>
      </c>
      <c r="C8" s="3">
        <v>-0.823908740944319</v>
      </c>
      <c r="D8" s="3">
        <f t="shared" si="0"/>
        <v>0.1625189294977749</v>
      </c>
      <c r="E8" s="3">
        <f t="shared" si="1"/>
        <v>-0.7890960470073316</v>
      </c>
      <c r="F8">
        <v>0.387</v>
      </c>
      <c r="G8">
        <v>2.52</v>
      </c>
      <c r="H8" s="5">
        <f t="shared" si="2"/>
        <v>23.80952380952381</v>
      </c>
      <c r="I8">
        <v>9.22</v>
      </c>
      <c r="J8">
        <v>1.39</v>
      </c>
      <c r="K8">
        <v>2784</v>
      </c>
      <c r="L8">
        <v>0.7</v>
      </c>
      <c r="M8">
        <v>14.9</v>
      </c>
      <c r="N8">
        <v>1</v>
      </c>
      <c r="O8">
        <v>169</v>
      </c>
      <c r="P8">
        <v>2</v>
      </c>
      <c r="Q8">
        <v>7.95</v>
      </c>
      <c r="R8">
        <v>2.88</v>
      </c>
      <c r="S8">
        <v>425</v>
      </c>
      <c r="T8">
        <v>2513</v>
      </c>
      <c r="U8">
        <v>0.74349112</v>
      </c>
      <c r="Y8">
        <v>0.1781</v>
      </c>
      <c r="Z8">
        <f>Y8^2</f>
        <v>0.03171961</v>
      </c>
      <c r="AA8">
        <v>11</v>
      </c>
      <c r="AB8">
        <f>AA8*Z8</f>
        <v>0.34891571000000005</v>
      </c>
    </row>
    <row r="9" spans="1:28" ht="12.75">
      <c r="A9">
        <v>203</v>
      </c>
      <c r="B9" s="3">
        <v>0.16</v>
      </c>
      <c r="C9" s="3">
        <v>-0.795880017344075</v>
      </c>
      <c r="D9" s="3">
        <f t="shared" si="0"/>
        <v>0.1743533871447778</v>
      </c>
      <c r="E9" s="3">
        <f t="shared" si="1"/>
        <v>-0.7585696112131687</v>
      </c>
      <c r="F9">
        <v>0.333</v>
      </c>
      <c r="G9">
        <v>3</v>
      </c>
      <c r="H9" s="5">
        <f t="shared" si="2"/>
        <v>20</v>
      </c>
      <c r="I9">
        <v>6.66</v>
      </c>
      <c r="J9">
        <v>1.09</v>
      </c>
      <c r="K9">
        <v>1737</v>
      </c>
      <c r="L9">
        <v>0.75</v>
      </c>
      <c r="M9">
        <v>13.3</v>
      </c>
      <c r="N9">
        <v>2</v>
      </c>
      <c r="O9">
        <v>159</v>
      </c>
      <c r="P9">
        <v>1</v>
      </c>
      <c r="Q9">
        <v>2.91</v>
      </c>
      <c r="R9">
        <v>1.42</v>
      </c>
      <c r="S9">
        <v>339</v>
      </c>
      <c r="T9">
        <v>2394</v>
      </c>
      <c r="U9">
        <v>0.88014706</v>
      </c>
      <c r="Y9">
        <v>0.1356</v>
      </c>
      <c r="Z9">
        <f>Y9^2</f>
        <v>0.01838736</v>
      </c>
      <c r="AA9">
        <v>26</v>
      </c>
      <c r="AB9">
        <f>AA9*Z9</f>
        <v>0.47807135999999995</v>
      </c>
    </row>
    <row r="10" spans="1:28" ht="12.75">
      <c r="A10">
        <v>204</v>
      </c>
      <c r="B10" s="3">
        <v>0.16</v>
      </c>
      <c r="C10" s="3">
        <v>-0.795880017344075</v>
      </c>
      <c r="D10" s="3">
        <f t="shared" si="0"/>
        <v>0.1743533871447778</v>
      </c>
      <c r="E10" s="3">
        <f t="shared" si="1"/>
        <v>-0.7585696112131687</v>
      </c>
      <c r="F10">
        <v>0.274</v>
      </c>
      <c r="G10">
        <v>2.48</v>
      </c>
      <c r="H10" s="5">
        <f t="shared" si="2"/>
        <v>24.193548387096776</v>
      </c>
      <c r="I10">
        <v>6.65</v>
      </c>
      <c r="J10">
        <v>1.08</v>
      </c>
      <c r="K10">
        <v>2071</v>
      </c>
      <c r="L10">
        <v>0.67</v>
      </c>
      <c r="M10">
        <v>12.75</v>
      </c>
      <c r="N10">
        <v>1</v>
      </c>
      <c r="O10">
        <v>149</v>
      </c>
      <c r="P10">
        <v>1</v>
      </c>
      <c r="Q10">
        <v>3.42</v>
      </c>
      <c r="R10">
        <v>1.42</v>
      </c>
      <c r="S10">
        <v>352</v>
      </c>
      <c r="T10">
        <v>2444</v>
      </c>
      <c r="U10">
        <v>0.99755102</v>
      </c>
      <c r="AA10">
        <f>SUM(AA8:AA9)</f>
        <v>37</v>
      </c>
      <c r="AB10">
        <f>SUM(AB8:AB9)</f>
        <v>0.8269870699999999</v>
      </c>
    </row>
    <row r="11" spans="1:21" ht="12.75">
      <c r="A11">
        <v>205</v>
      </c>
      <c r="B11" s="3">
        <v>0.22</v>
      </c>
      <c r="C11" s="3">
        <v>-0.657577319177794</v>
      </c>
      <c r="D11" s="3">
        <f t="shared" si="0"/>
        <v>0.24846135929849958</v>
      </c>
      <c r="E11" s="3">
        <f t="shared" si="1"/>
        <v>-0.6047411431410941</v>
      </c>
      <c r="F11">
        <v>0.402</v>
      </c>
      <c r="G11">
        <v>4.03</v>
      </c>
      <c r="H11" s="5">
        <f t="shared" si="2"/>
        <v>14.888337468982629</v>
      </c>
      <c r="I11">
        <v>5.99</v>
      </c>
      <c r="J11">
        <v>1.33</v>
      </c>
      <c r="K11">
        <v>2330</v>
      </c>
      <c r="L11">
        <v>0.76</v>
      </c>
      <c r="M11">
        <v>16.5</v>
      </c>
      <c r="N11">
        <v>2</v>
      </c>
      <c r="O11">
        <v>166</v>
      </c>
      <c r="P11">
        <v>2</v>
      </c>
      <c r="Q11">
        <v>2.3</v>
      </c>
      <c r="R11">
        <v>1.08</v>
      </c>
      <c r="S11">
        <v>396</v>
      </c>
      <c r="T11">
        <v>3143</v>
      </c>
      <c r="U11">
        <v>1.0837931</v>
      </c>
    </row>
    <row r="12" spans="1:28" ht="12.75">
      <c r="A12">
        <v>206</v>
      </c>
      <c r="B12" s="3">
        <v>0.25</v>
      </c>
      <c r="C12" s="3">
        <v>-0.602059991327962</v>
      </c>
      <c r="D12" s="3">
        <f t="shared" si="0"/>
        <v>0.2876820724517809</v>
      </c>
      <c r="E12" s="3">
        <f t="shared" si="1"/>
        <v>-0.5410872012930469</v>
      </c>
      <c r="F12">
        <v>0.381</v>
      </c>
      <c r="G12">
        <v>2.79</v>
      </c>
      <c r="H12" s="5">
        <f t="shared" si="2"/>
        <v>21.50537634408602</v>
      </c>
      <c r="I12">
        <v>8.19</v>
      </c>
      <c r="J12">
        <v>2.02</v>
      </c>
      <c r="K12">
        <v>2380</v>
      </c>
      <c r="L12">
        <v>1.13</v>
      </c>
      <c r="M12">
        <v>16</v>
      </c>
      <c r="N12">
        <v>1</v>
      </c>
      <c r="O12">
        <v>163</v>
      </c>
      <c r="P12">
        <v>2</v>
      </c>
      <c r="Q12">
        <v>2.45</v>
      </c>
      <c r="R12">
        <v>1.06</v>
      </c>
      <c r="S12">
        <v>324</v>
      </c>
      <c r="T12">
        <v>3183</v>
      </c>
      <c r="U12">
        <v>1.00727848</v>
      </c>
      <c r="AB12">
        <f>SQRT(AB10/AA10)</f>
        <v>0.14950251466745262</v>
      </c>
    </row>
    <row r="13" spans="1:21" ht="12.75">
      <c r="A13">
        <v>207</v>
      </c>
      <c r="B13" s="3">
        <v>0.17</v>
      </c>
      <c r="C13" s="3">
        <v>-0.769551078621726</v>
      </c>
      <c r="D13" s="3">
        <f t="shared" si="0"/>
        <v>0.18632957819149348</v>
      </c>
      <c r="E13" s="3">
        <f t="shared" si="1"/>
        <v>-0.7297181991792839</v>
      </c>
      <c r="F13">
        <v>0.237</v>
      </c>
      <c r="G13">
        <v>2.91</v>
      </c>
      <c r="H13" s="5">
        <f t="shared" si="2"/>
        <v>20.618556701030926</v>
      </c>
      <c r="I13">
        <v>4.89</v>
      </c>
      <c r="J13">
        <v>0.85</v>
      </c>
      <c r="K13">
        <v>1988</v>
      </c>
      <c r="L13">
        <v>0.54</v>
      </c>
      <c r="M13">
        <v>10.2</v>
      </c>
      <c r="N13">
        <v>1</v>
      </c>
      <c r="O13">
        <v>141</v>
      </c>
      <c r="P13">
        <v>1</v>
      </c>
      <c r="Q13">
        <v>6.34</v>
      </c>
      <c r="R13">
        <v>3.17</v>
      </c>
      <c r="S13">
        <v>324</v>
      </c>
      <c r="T13">
        <v>1692</v>
      </c>
      <c r="U13">
        <v>0.82657548</v>
      </c>
    </row>
    <row r="14" spans="1:21" ht="12.75">
      <c r="A14">
        <v>208</v>
      </c>
      <c r="B14" s="3">
        <v>0.23</v>
      </c>
      <c r="C14" s="3">
        <v>-0.638272163982407</v>
      </c>
      <c r="D14" s="3">
        <f t="shared" si="0"/>
        <v>0.2613647641344075</v>
      </c>
      <c r="E14" s="3">
        <f t="shared" si="1"/>
        <v>-0.5827529621780622</v>
      </c>
      <c r="F14">
        <v>0.241</v>
      </c>
      <c r="G14">
        <v>2.69</v>
      </c>
      <c r="H14" s="5">
        <f t="shared" si="2"/>
        <v>22.304832713754646</v>
      </c>
      <c r="I14">
        <v>5.36</v>
      </c>
      <c r="J14">
        <v>1.26</v>
      </c>
      <c r="K14">
        <v>2500</v>
      </c>
      <c r="L14">
        <v>0.68</v>
      </c>
      <c r="M14">
        <v>14</v>
      </c>
      <c r="N14">
        <v>1</v>
      </c>
      <c r="O14">
        <v>154</v>
      </c>
      <c r="P14">
        <v>1</v>
      </c>
      <c r="Q14">
        <v>4.11</v>
      </c>
      <c r="R14">
        <v>1.6</v>
      </c>
      <c r="S14">
        <v>263</v>
      </c>
      <c r="T14">
        <v>2537</v>
      </c>
      <c r="U14">
        <v>0.93272059</v>
      </c>
    </row>
    <row r="15" spans="1:21" ht="12.75">
      <c r="A15">
        <v>209</v>
      </c>
      <c r="B15" s="3">
        <v>0.32</v>
      </c>
      <c r="C15" s="3">
        <v>-0.494850021680094</v>
      </c>
      <c r="D15" s="3">
        <f t="shared" si="0"/>
        <v>0.3856624808119848</v>
      </c>
      <c r="E15" s="3">
        <f t="shared" si="1"/>
        <v>-0.41379260943288027</v>
      </c>
      <c r="F15">
        <v>0.449</v>
      </c>
      <c r="G15">
        <v>3.53</v>
      </c>
      <c r="H15" s="5">
        <f t="shared" si="2"/>
        <v>16.997167138810198</v>
      </c>
      <c r="I15">
        <v>7.64</v>
      </c>
      <c r="J15">
        <v>2.42</v>
      </c>
      <c r="K15">
        <v>2263</v>
      </c>
      <c r="L15">
        <v>1.4</v>
      </c>
      <c r="M15">
        <v>11.3</v>
      </c>
      <c r="N15">
        <v>2</v>
      </c>
      <c r="O15">
        <v>158</v>
      </c>
      <c r="P15">
        <v>1</v>
      </c>
      <c r="Q15">
        <v>2.47</v>
      </c>
      <c r="R15">
        <v>1.21</v>
      </c>
      <c r="S15">
        <v>312</v>
      </c>
      <c r="T15">
        <v>2678</v>
      </c>
      <c r="U15">
        <v>1.01825095</v>
      </c>
    </row>
    <row r="16" spans="1:21" ht="12.75">
      <c r="A16">
        <v>210</v>
      </c>
      <c r="B16" s="3">
        <v>0.2</v>
      </c>
      <c r="C16" s="3">
        <v>-0.698970004336019</v>
      </c>
      <c r="D16" s="3">
        <f t="shared" si="0"/>
        <v>0.22314355131420968</v>
      </c>
      <c r="E16" s="3">
        <f t="shared" si="1"/>
        <v>-0.6514156594356943</v>
      </c>
      <c r="F16">
        <v>0.188</v>
      </c>
      <c r="G16">
        <v>2.57</v>
      </c>
      <c r="H16" s="5">
        <f t="shared" si="2"/>
        <v>23.346303501945528</v>
      </c>
      <c r="I16">
        <v>4.4</v>
      </c>
      <c r="J16">
        <v>0.86</v>
      </c>
      <c r="K16">
        <v>1530</v>
      </c>
      <c r="L16">
        <v>0.65</v>
      </c>
      <c r="M16">
        <v>9.2</v>
      </c>
      <c r="N16">
        <v>2</v>
      </c>
      <c r="O16">
        <v>135</v>
      </c>
      <c r="P16">
        <v>1</v>
      </c>
      <c r="Q16">
        <v>3.23</v>
      </c>
      <c r="R16">
        <v>2.05</v>
      </c>
      <c r="S16">
        <v>323</v>
      </c>
      <c r="T16">
        <v>1901</v>
      </c>
      <c r="U16">
        <v>1.069</v>
      </c>
    </row>
    <row r="17" spans="1:21" ht="12.75">
      <c r="A17">
        <v>211</v>
      </c>
      <c r="B17" s="3">
        <v>0.41</v>
      </c>
      <c r="C17" s="3">
        <v>-0.387216143280265</v>
      </c>
      <c r="D17" s="3">
        <f t="shared" si="0"/>
        <v>0.5276327420823718</v>
      </c>
      <c r="E17" s="3">
        <f t="shared" si="1"/>
        <v>-0.27766826228319447</v>
      </c>
      <c r="F17">
        <v>0.509</v>
      </c>
      <c r="G17">
        <v>3.06</v>
      </c>
      <c r="H17" s="5">
        <f t="shared" si="2"/>
        <v>19.607843137254903</v>
      </c>
      <c r="I17">
        <v>10</v>
      </c>
      <c r="J17">
        <v>4.06</v>
      </c>
      <c r="K17">
        <v>1743</v>
      </c>
      <c r="L17">
        <v>2.81</v>
      </c>
      <c r="M17">
        <v>12.8</v>
      </c>
      <c r="N17">
        <v>1</v>
      </c>
      <c r="O17">
        <v>157</v>
      </c>
      <c r="P17">
        <v>1</v>
      </c>
      <c r="Q17">
        <v>3.62</v>
      </c>
      <c r="R17">
        <v>1.89</v>
      </c>
      <c r="S17">
        <v>315</v>
      </c>
      <c r="T17">
        <v>2716</v>
      </c>
      <c r="U17">
        <v>0.95298246</v>
      </c>
    </row>
    <row r="18" spans="1:21" ht="12.75">
      <c r="A18">
        <v>212</v>
      </c>
      <c r="B18" s="3">
        <v>0.21</v>
      </c>
      <c r="C18" s="3">
        <v>-0.677780705266081</v>
      </c>
      <c r="D18" s="3">
        <f t="shared" si="0"/>
        <v>0.23572233352106983</v>
      </c>
      <c r="E18" s="3">
        <f t="shared" si="1"/>
        <v>-0.6275992682798079</v>
      </c>
      <c r="F18">
        <v>0.351</v>
      </c>
      <c r="G18">
        <v>3.11</v>
      </c>
      <c r="H18" s="5">
        <f t="shared" si="2"/>
        <v>19.292604501607716</v>
      </c>
      <c r="I18">
        <v>6.78</v>
      </c>
      <c r="J18">
        <v>1.45</v>
      </c>
      <c r="K18">
        <v>2266</v>
      </c>
      <c r="L18">
        <v>0.84</v>
      </c>
      <c r="M18">
        <v>14.1</v>
      </c>
      <c r="N18">
        <v>2</v>
      </c>
      <c r="O18">
        <v>158</v>
      </c>
      <c r="P18">
        <v>2</v>
      </c>
      <c r="Q18">
        <v>2.82</v>
      </c>
      <c r="R18">
        <v>1.22</v>
      </c>
      <c r="S18">
        <v>337</v>
      </c>
      <c r="T18">
        <v>2754</v>
      </c>
      <c r="U18">
        <v>1.04714829</v>
      </c>
    </row>
    <row r="19" spans="1:21" ht="12.75">
      <c r="A19">
        <v>213</v>
      </c>
      <c r="B19" s="3">
        <v>0.17</v>
      </c>
      <c r="C19" s="3">
        <v>-0.769551078621726</v>
      </c>
      <c r="D19" s="3">
        <f t="shared" si="0"/>
        <v>0.18632957819149348</v>
      </c>
      <c r="E19" s="3">
        <f t="shared" si="1"/>
        <v>-0.7297181991792839</v>
      </c>
      <c r="F19">
        <v>0.37</v>
      </c>
      <c r="G19">
        <v>3.23</v>
      </c>
      <c r="H19" s="5">
        <f t="shared" si="2"/>
        <v>18.575851393188856</v>
      </c>
      <c r="I19">
        <v>6.87</v>
      </c>
      <c r="J19">
        <v>1.2</v>
      </c>
      <c r="K19">
        <v>3734</v>
      </c>
      <c r="L19">
        <v>0.5</v>
      </c>
      <c r="M19">
        <v>16.6</v>
      </c>
      <c r="N19">
        <v>1</v>
      </c>
      <c r="O19">
        <v>170</v>
      </c>
      <c r="P19">
        <v>2</v>
      </c>
      <c r="Q19">
        <v>4.56</v>
      </c>
      <c r="R19">
        <v>1.21</v>
      </c>
      <c r="S19">
        <v>308</v>
      </c>
      <c r="T19">
        <v>4253</v>
      </c>
      <c r="U19">
        <v>1.11044386</v>
      </c>
    </row>
    <row r="20" spans="1:21" ht="12.75">
      <c r="A20">
        <v>214</v>
      </c>
      <c r="B20" s="3">
        <v>0.28</v>
      </c>
      <c r="C20" s="3">
        <v>-0.552841968657781</v>
      </c>
      <c r="D20" s="3">
        <f t="shared" si="0"/>
        <v>0.32850406697203605</v>
      </c>
      <c r="E20" s="3">
        <f t="shared" si="1"/>
        <v>-0.4834592493840182</v>
      </c>
      <c r="F20">
        <v>0.374</v>
      </c>
      <c r="G20">
        <v>2.71</v>
      </c>
      <c r="H20" s="5">
        <f t="shared" si="2"/>
        <v>22.14022140221402</v>
      </c>
      <c r="I20">
        <v>8.3</v>
      </c>
      <c r="J20">
        <v>2.33</v>
      </c>
      <c r="K20">
        <v>1948</v>
      </c>
      <c r="L20">
        <v>1.49</v>
      </c>
      <c r="M20">
        <v>13.7</v>
      </c>
      <c r="N20">
        <v>1</v>
      </c>
      <c r="O20">
        <v>155</v>
      </c>
      <c r="P20">
        <v>1</v>
      </c>
      <c r="Q20">
        <v>4.22</v>
      </c>
      <c r="R20">
        <v>2.01</v>
      </c>
      <c r="S20">
        <v>376</v>
      </c>
      <c r="T20">
        <v>2110</v>
      </c>
      <c r="U20">
        <v>0.77573529</v>
      </c>
    </row>
    <row r="21" spans="1:21" ht="12.75">
      <c r="A21">
        <v>215</v>
      </c>
      <c r="B21" s="3">
        <v>0.2</v>
      </c>
      <c r="C21" s="3">
        <v>-0.698970004336019</v>
      </c>
      <c r="D21" s="3">
        <f t="shared" si="0"/>
        <v>0.22314355131420968</v>
      </c>
      <c r="E21" s="3">
        <f t="shared" si="1"/>
        <v>-0.6514156594356943</v>
      </c>
      <c r="F21">
        <v>0.413</v>
      </c>
      <c r="G21">
        <v>3.19</v>
      </c>
      <c r="H21" s="5">
        <f t="shared" si="2"/>
        <v>18.808777429467085</v>
      </c>
      <c r="I21">
        <v>7.76</v>
      </c>
      <c r="J21">
        <v>1.58</v>
      </c>
      <c r="K21">
        <v>4137</v>
      </c>
      <c r="L21">
        <v>0.61</v>
      </c>
      <c r="M21">
        <v>16.4</v>
      </c>
      <c r="N21">
        <v>1</v>
      </c>
      <c r="O21">
        <v>185</v>
      </c>
      <c r="P21">
        <v>2</v>
      </c>
      <c r="Q21">
        <v>6.75</v>
      </c>
      <c r="R21">
        <v>1.49</v>
      </c>
      <c r="S21">
        <v>333</v>
      </c>
      <c r="T21">
        <v>4542</v>
      </c>
      <c r="U21">
        <v>0.98311688</v>
      </c>
    </row>
    <row r="22" spans="1:21" ht="12.75">
      <c r="A22">
        <v>216</v>
      </c>
      <c r="B22" s="3">
        <v>0.23</v>
      </c>
      <c r="C22" s="3">
        <v>-0.638272163982407</v>
      </c>
      <c r="D22" s="3">
        <f t="shared" si="0"/>
        <v>0.2613647641344075</v>
      </c>
      <c r="E22" s="3">
        <f t="shared" si="1"/>
        <v>-0.5827529621780622</v>
      </c>
      <c r="F22">
        <v>0.419</v>
      </c>
      <c r="G22">
        <v>3.51</v>
      </c>
      <c r="H22" s="5">
        <f t="shared" si="2"/>
        <v>17.094017094017094</v>
      </c>
      <c r="I22">
        <v>7.17</v>
      </c>
      <c r="J22">
        <v>1.63</v>
      </c>
      <c r="K22">
        <v>2229</v>
      </c>
      <c r="L22">
        <v>0.95</v>
      </c>
      <c r="M22">
        <v>13.8</v>
      </c>
      <c r="N22">
        <v>2</v>
      </c>
      <c r="O22">
        <v>167</v>
      </c>
      <c r="P22">
        <v>2</v>
      </c>
      <c r="Q22">
        <v>4.94</v>
      </c>
      <c r="R22">
        <v>2.07</v>
      </c>
      <c r="S22">
        <v>354</v>
      </c>
      <c r="T22">
        <v>3206</v>
      </c>
      <c r="U22">
        <v>1.10551724</v>
      </c>
    </row>
    <row r="23" spans="1:21" ht="12.75">
      <c r="A23">
        <v>217</v>
      </c>
      <c r="B23" s="3">
        <v>0.19</v>
      </c>
      <c r="C23" s="3">
        <v>-0.721246399047171</v>
      </c>
      <c r="D23" s="3">
        <f t="shared" si="0"/>
        <v>0.21072103131565253</v>
      </c>
      <c r="E23" s="3">
        <f t="shared" si="1"/>
        <v>-0.6762921168431828</v>
      </c>
      <c r="F23">
        <v>0.342</v>
      </c>
      <c r="G23">
        <v>3.08</v>
      </c>
      <c r="H23" s="5">
        <f t="shared" si="2"/>
        <v>19.48051948051948</v>
      </c>
      <c r="I23">
        <v>6.67</v>
      </c>
      <c r="J23">
        <v>1.3</v>
      </c>
      <c r="K23">
        <v>2561</v>
      </c>
      <c r="L23">
        <v>0.69</v>
      </c>
      <c r="M23">
        <v>18.3</v>
      </c>
      <c r="N23">
        <v>2</v>
      </c>
      <c r="O23">
        <v>168</v>
      </c>
      <c r="P23">
        <v>2</v>
      </c>
      <c r="Q23">
        <v>3.96</v>
      </c>
      <c r="R23">
        <v>1.49</v>
      </c>
      <c r="S23">
        <v>343</v>
      </c>
      <c r="T23">
        <v>3745</v>
      </c>
      <c r="U23">
        <v>1.12125749</v>
      </c>
    </row>
    <row r="24" spans="1:21" ht="12.75">
      <c r="A24">
        <v>218</v>
      </c>
      <c r="B24" s="3">
        <v>0.16</v>
      </c>
      <c r="C24" s="3">
        <v>-0.795880017344075</v>
      </c>
      <c r="D24" s="3">
        <f t="shared" si="0"/>
        <v>0.1743533871447778</v>
      </c>
      <c r="E24" s="3">
        <f t="shared" si="1"/>
        <v>-0.7585696112131687</v>
      </c>
      <c r="F24">
        <v>0.333</v>
      </c>
      <c r="G24">
        <v>3.2</v>
      </c>
      <c r="H24" s="5">
        <f t="shared" si="2"/>
        <v>18.75</v>
      </c>
      <c r="I24">
        <v>6.25</v>
      </c>
      <c r="J24">
        <v>0.98</v>
      </c>
      <c r="K24">
        <v>2823</v>
      </c>
      <c r="L24">
        <v>0.49</v>
      </c>
      <c r="M24">
        <v>15.8</v>
      </c>
      <c r="N24">
        <v>2</v>
      </c>
      <c r="O24">
        <v>168</v>
      </c>
      <c r="P24">
        <v>2</v>
      </c>
      <c r="Q24">
        <v>4.86</v>
      </c>
      <c r="R24">
        <v>1.92</v>
      </c>
      <c r="S24">
        <v>332</v>
      </c>
      <c r="T24">
        <v>3301</v>
      </c>
      <c r="U24">
        <v>0.98832335</v>
      </c>
    </row>
    <row r="25" spans="1:21" ht="12.75">
      <c r="A25">
        <v>219</v>
      </c>
      <c r="B25" s="3">
        <v>0.23</v>
      </c>
      <c r="C25" s="3">
        <v>-0.638272163982407</v>
      </c>
      <c r="D25" s="3">
        <f t="shared" si="0"/>
        <v>0.2613647641344075</v>
      </c>
      <c r="E25" s="3">
        <f t="shared" si="1"/>
        <v>-0.5827529621780622</v>
      </c>
      <c r="F25">
        <v>0.349</v>
      </c>
      <c r="G25">
        <v>3.5</v>
      </c>
      <c r="H25" s="5">
        <f t="shared" si="2"/>
        <v>17.142857142857142</v>
      </c>
      <c r="I25">
        <v>5.98</v>
      </c>
      <c r="J25">
        <v>1.36</v>
      </c>
      <c r="K25">
        <v>2598</v>
      </c>
      <c r="L25">
        <v>0.72</v>
      </c>
      <c r="M25">
        <v>14.3</v>
      </c>
      <c r="N25">
        <v>2</v>
      </c>
      <c r="O25">
        <v>159</v>
      </c>
      <c r="P25">
        <v>2</v>
      </c>
      <c r="Q25">
        <v>6.65</v>
      </c>
      <c r="R25">
        <v>2.36</v>
      </c>
      <c r="S25">
        <v>282</v>
      </c>
      <c r="T25">
        <v>3264</v>
      </c>
      <c r="U25">
        <v>1.06319218</v>
      </c>
    </row>
    <row r="26" spans="1:21" ht="12.75">
      <c r="A26">
        <v>220</v>
      </c>
      <c r="B26" s="3">
        <v>0.18</v>
      </c>
      <c r="C26" s="3">
        <v>-0.744727494896694</v>
      </c>
      <c r="D26" s="3">
        <f t="shared" si="0"/>
        <v>0.19845093872383818</v>
      </c>
      <c r="E26" s="3">
        <f t="shared" si="1"/>
        <v>-0.7023468424276733</v>
      </c>
      <c r="F26">
        <v>0.289</v>
      </c>
      <c r="G26">
        <v>3.17</v>
      </c>
      <c r="H26" s="5">
        <f t="shared" si="2"/>
        <v>18.92744479495268</v>
      </c>
      <c r="I26">
        <v>5.46</v>
      </c>
      <c r="J26">
        <v>0.98</v>
      </c>
      <c r="K26">
        <v>2138</v>
      </c>
      <c r="L26">
        <v>0.59</v>
      </c>
      <c r="M26">
        <v>16.3</v>
      </c>
      <c r="N26">
        <v>2</v>
      </c>
      <c r="O26">
        <v>168</v>
      </c>
      <c r="P26">
        <v>2</v>
      </c>
      <c r="Q26">
        <v>2.99</v>
      </c>
      <c r="R26">
        <v>1.43</v>
      </c>
      <c r="S26">
        <v>413</v>
      </c>
      <c r="T26">
        <v>3225</v>
      </c>
      <c r="U26">
        <v>0.96556886</v>
      </c>
    </row>
    <row r="27" spans="1:21" ht="12.75">
      <c r="A27">
        <v>221</v>
      </c>
      <c r="B27" s="3">
        <v>0.24</v>
      </c>
      <c r="C27" s="3">
        <v>-0.619788758288394</v>
      </c>
      <c r="D27" s="3">
        <f t="shared" si="0"/>
        <v>0.27443684570176025</v>
      </c>
      <c r="E27" s="3">
        <f t="shared" si="1"/>
        <v>-0.5615575809729126</v>
      </c>
      <c r="F27">
        <v>0.317</v>
      </c>
      <c r="G27">
        <v>3.18</v>
      </c>
      <c r="H27" s="5">
        <f t="shared" si="2"/>
        <v>18.867924528301884</v>
      </c>
      <c r="I27">
        <v>6</v>
      </c>
      <c r="J27">
        <v>1.42</v>
      </c>
      <c r="K27">
        <v>1187</v>
      </c>
      <c r="L27">
        <v>1.26</v>
      </c>
      <c r="M27">
        <v>8.3</v>
      </c>
      <c r="N27">
        <v>2</v>
      </c>
      <c r="O27">
        <v>132</v>
      </c>
      <c r="P27">
        <v>1</v>
      </c>
      <c r="Q27">
        <v>2.5</v>
      </c>
      <c r="R27">
        <v>2.1</v>
      </c>
      <c r="S27">
        <v>329</v>
      </c>
      <c r="T27">
        <v>1819</v>
      </c>
      <c r="U27">
        <v>1.084</v>
      </c>
    </row>
    <row r="28" spans="1:21" ht="12.75">
      <c r="A28">
        <v>222</v>
      </c>
      <c r="B28" s="3">
        <v>0.222</v>
      </c>
      <c r="C28" s="3">
        <v>-0.653647025549361</v>
      </c>
      <c r="D28" s="3">
        <f t="shared" si="0"/>
        <v>0.2510287548037455</v>
      </c>
      <c r="E28" s="3">
        <f t="shared" si="1"/>
        <v>-0.6002765281710424</v>
      </c>
      <c r="F28">
        <v>0.3</v>
      </c>
      <c r="G28">
        <v>2.85</v>
      </c>
      <c r="H28" s="5">
        <f t="shared" si="2"/>
        <v>21.052631578947366</v>
      </c>
      <c r="I28">
        <v>6.25</v>
      </c>
      <c r="J28">
        <v>1.39</v>
      </c>
      <c r="K28">
        <v>1629</v>
      </c>
      <c r="L28">
        <v>1</v>
      </c>
      <c r="M28">
        <v>11.8</v>
      </c>
      <c r="N28">
        <v>2</v>
      </c>
      <c r="O28">
        <v>154</v>
      </c>
      <c r="P28">
        <v>1</v>
      </c>
      <c r="Q28">
        <v>3.95</v>
      </c>
      <c r="R28">
        <v>2.38</v>
      </c>
      <c r="S28">
        <v>276</v>
      </c>
      <c r="T28">
        <v>2139</v>
      </c>
      <c r="U28">
        <v>1.3</v>
      </c>
    </row>
    <row r="29" spans="1:21" ht="12.75">
      <c r="A29">
        <v>223</v>
      </c>
      <c r="B29" s="3">
        <v>0.186</v>
      </c>
      <c r="C29" s="3">
        <v>-0.730487055782084</v>
      </c>
      <c r="D29" s="3">
        <f t="shared" si="0"/>
        <v>0.20579491297959668</v>
      </c>
      <c r="E29" s="3">
        <f t="shared" si="1"/>
        <v>-0.6865653647154496</v>
      </c>
      <c r="F29">
        <v>0.31</v>
      </c>
      <c r="G29">
        <v>2.69</v>
      </c>
      <c r="H29" s="5">
        <f t="shared" si="2"/>
        <v>22.304832713754646</v>
      </c>
      <c r="I29">
        <v>6.91</v>
      </c>
      <c r="J29">
        <v>1.29</v>
      </c>
      <c r="K29">
        <v>1935</v>
      </c>
      <c r="L29">
        <v>0.83</v>
      </c>
      <c r="M29">
        <v>10.8</v>
      </c>
      <c r="N29">
        <v>2</v>
      </c>
      <c r="O29">
        <v>146</v>
      </c>
      <c r="P29">
        <v>1</v>
      </c>
      <c r="Q29">
        <v>6.67</v>
      </c>
      <c r="R29">
        <v>2.47</v>
      </c>
      <c r="S29">
        <v>322</v>
      </c>
      <c r="T29">
        <v>1988</v>
      </c>
      <c r="U29">
        <v>0.93</v>
      </c>
    </row>
    <row r="30" spans="1:21" ht="12.75">
      <c r="A30">
        <v>225</v>
      </c>
      <c r="B30" s="3">
        <v>0.131</v>
      </c>
      <c r="C30" s="3">
        <v>-0.882728704344236</v>
      </c>
      <c r="D30" s="3">
        <f t="shared" si="0"/>
        <v>0.140412153716745</v>
      </c>
      <c r="E30" s="3">
        <f t="shared" si="1"/>
        <v>-0.852595299160112</v>
      </c>
      <c r="F30">
        <v>0.27</v>
      </c>
      <c r="G30">
        <v>2.74</v>
      </c>
      <c r="H30" s="5">
        <f t="shared" si="2"/>
        <v>21.8978102189781</v>
      </c>
      <c r="I30">
        <v>5.96</v>
      </c>
      <c r="J30">
        <v>0.78</v>
      </c>
      <c r="K30">
        <v>1320</v>
      </c>
      <c r="L30">
        <v>0.65</v>
      </c>
      <c r="M30">
        <v>9.2</v>
      </c>
      <c r="N30">
        <v>2</v>
      </c>
      <c r="O30">
        <v>136</v>
      </c>
      <c r="P30">
        <v>1</v>
      </c>
      <c r="Q30">
        <v>5.38</v>
      </c>
      <c r="R30">
        <v>4.06</v>
      </c>
      <c r="S30">
        <v>544</v>
      </c>
      <c r="T30">
        <v>1500</v>
      </c>
      <c r="U30">
        <v>0.83</v>
      </c>
    </row>
    <row r="31" spans="1:21" ht="12.75">
      <c r="A31">
        <v>226</v>
      </c>
      <c r="B31" s="3">
        <v>0.163</v>
      </c>
      <c r="C31" s="3">
        <v>-0.787812395596042</v>
      </c>
      <c r="D31" s="3">
        <f t="shared" si="0"/>
        <v>0.17793120849266178</v>
      </c>
      <c r="E31" s="3">
        <f t="shared" si="1"/>
        <v>-0.7497478715481769</v>
      </c>
      <c r="F31">
        <v>0.38</v>
      </c>
      <c r="G31">
        <v>3.32</v>
      </c>
      <c r="H31" s="5">
        <f t="shared" si="2"/>
        <v>18.072289156626507</v>
      </c>
      <c r="I31">
        <v>6.91</v>
      </c>
      <c r="J31">
        <v>1.13</v>
      </c>
      <c r="K31">
        <v>1255</v>
      </c>
      <c r="L31">
        <v>0.97</v>
      </c>
      <c r="M31">
        <v>7.7</v>
      </c>
      <c r="N31">
        <v>2</v>
      </c>
      <c r="O31">
        <v>131</v>
      </c>
      <c r="P31">
        <v>1</v>
      </c>
      <c r="Q31">
        <v>4.34</v>
      </c>
      <c r="R31">
        <v>3.66</v>
      </c>
      <c r="S31">
        <v>513</v>
      </c>
      <c r="T31">
        <v>1280</v>
      </c>
      <c r="U31">
        <v>0.78</v>
      </c>
    </row>
    <row r="32" spans="1:21" ht="12.75">
      <c r="A32">
        <v>228</v>
      </c>
      <c r="B32" s="3">
        <v>0.114</v>
      </c>
      <c r="C32" s="3">
        <v>-0.943095148663527</v>
      </c>
      <c r="D32" s="3">
        <f t="shared" si="0"/>
        <v>0.1210383283770561</v>
      </c>
      <c r="E32" s="3">
        <f t="shared" si="1"/>
        <v>-0.9170770828503145</v>
      </c>
      <c r="F32">
        <v>0.27</v>
      </c>
      <c r="G32">
        <v>2.7</v>
      </c>
      <c r="H32" s="5">
        <f t="shared" si="2"/>
        <v>22.22222222222222</v>
      </c>
      <c r="I32">
        <v>5.91</v>
      </c>
      <c r="J32">
        <v>0.68</v>
      </c>
      <c r="K32">
        <v>1480</v>
      </c>
      <c r="L32">
        <v>0.52</v>
      </c>
      <c r="M32">
        <v>8.9</v>
      </c>
      <c r="N32">
        <v>1</v>
      </c>
      <c r="O32">
        <v>140</v>
      </c>
      <c r="P32">
        <v>1</v>
      </c>
      <c r="Q32">
        <v>6.59</v>
      </c>
      <c r="R32">
        <v>4.05</v>
      </c>
      <c r="S32">
        <v>349</v>
      </c>
      <c r="T32">
        <v>1800</v>
      </c>
      <c r="U32">
        <v>0.87</v>
      </c>
    </row>
    <row r="33" spans="8:23" ht="12.75">
      <c r="H33" s="5"/>
      <c r="V33">
        <v>3314.54545</v>
      </c>
      <c r="W33">
        <v>647.409046</v>
      </c>
    </row>
    <row r="34" spans="1:23" ht="12.75">
      <c r="A34" t="s">
        <v>518</v>
      </c>
      <c r="F34">
        <v>0.34916124</v>
      </c>
      <c r="G34">
        <v>3.103068182</v>
      </c>
      <c r="H34" s="5"/>
      <c r="I34">
        <v>6.777306</v>
      </c>
      <c r="J34">
        <v>1.5364848</v>
      </c>
      <c r="L34">
        <v>0.92099694</v>
      </c>
      <c r="M34">
        <v>1.0323033</v>
      </c>
      <c r="N34">
        <v>0.13916535</v>
      </c>
      <c r="O34">
        <v>0.70121149</v>
      </c>
      <c r="P34">
        <v>0.05349402</v>
      </c>
      <c r="V34">
        <v>1.0042122</v>
      </c>
      <c r="W34">
        <v>0.10579543</v>
      </c>
    </row>
    <row r="35" spans="1:21" ht="12.75">
      <c r="A35">
        <v>117</v>
      </c>
      <c r="B35" s="3">
        <v>0.27</v>
      </c>
      <c r="C35" s="3">
        <v>-0.568636235841013</v>
      </c>
      <c r="D35" s="3">
        <f aca="true" t="shared" si="3" ref="D35:D46">-LN(1-B35)</f>
        <v>0.31471074483970024</v>
      </c>
      <c r="E35" s="3">
        <f aca="true" t="shared" si="4" ref="E35:E46">LOG10(D35)</f>
        <v>-0.5020884291715288</v>
      </c>
      <c r="F35">
        <v>0.607</v>
      </c>
      <c r="G35">
        <v>4.19</v>
      </c>
      <c r="H35" s="5">
        <f aca="true" t="shared" si="5" ref="H35:H46">60/G35</f>
        <v>14.31980906921241</v>
      </c>
      <c r="I35">
        <v>8.7</v>
      </c>
      <c r="J35">
        <v>2.34</v>
      </c>
      <c r="K35">
        <v>2904</v>
      </c>
      <c r="L35">
        <v>1.15</v>
      </c>
      <c r="M35">
        <v>28.8</v>
      </c>
      <c r="N35">
        <v>2</v>
      </c>
      <c r="O35">
        <v>170</v>
      </c>
      <c r="Q35">
        <v>2.67</v>
      </c>
      <c r="R35">
        <v>0.84</v>
      </c>
      <c r="S35">
        <v>383</v>
      </c>
      <c r="T35">
        <v>3222</v>
      </c>
      <c r="U35">
        <v>0.97636364</v>
      </c>
    </row>
    <row r="36" spans="1:21" ht="12.75">
      <c r="A36">
        <v>118</v>
      </c>
      <c r="B36" s="3">
        <v>0.16</v>
      </c>
      <c r="C36" s="3">
        <v>-0.795880017344075</v>
      </c>
      <c r="D36" s="3">
        <f t="shared" si="3"/>
        <v>0.1743533871447778</v>
      </c>
      <c r="E36" s="3">
        <f t="shared" si="4"/>
        <v>-0.7585696112131687</v>
      </c>
      <c r="F36">
        <v>0.339</v>
      </c>
      <c r="G36">
        <v>3.17</v>
      </c>
      <c r="H36" s="5">
        <f t="shared" si="5"/>
        <v>18.92744479495268</v>
      </c>
      <c r="I36">
        <v>6.41</v>
      </c>
      <c r="J36">
        <v>1</v>
      </c>
      <c r="K36">
        <v>3755</v>
      </c>
      <c r="L36">
        <v>0.41</v>
      </c>
      <c r="M36">
        <v>30</v>
      </c>
      <c r="N36">
        <v>2</v>
      </c>
      <c r="O36">
        <v>181</v>
      </c>
      <c r="Q36">
        <v>3.45</v>
      </c>
      <c r="R36">
        <v>0.88</v>
      </c>
      <c r="S36">
        <v>339</v>
      </c>
      <c r="T36">
        <v>3219</v>
      </c>
      <c r="U36">
        <v>0.91709402</v>
      </c>
    </row>
    <row r="37" spans="1:21" ht="12.75">
      <c r="A37">
        <v>119</v>
      </c>
      <c r="B37" s="3">
        <v>0.17</v>
      </c>
      <c r="C37" s="3">
        <v>-0.769551078621726</v>
      </c>
      <c r="D37" s="3">
        <f t="shared" si="3"/>
        <v>0.18632957819149348</v>
      </c>
      <c r="E37" s="3">
        <f t="shared" si="4"/>
        <v>-0.7297181991792839</v>
      </c>
      <c r="F37">
        <v>0.365</v>
      </c>
      <c r="G37">
        <v>2.97</v>
      </c>
      <c r="H37" s="5">
        <f t="shared" si="5"/>
        <v>20.2020202020202</v>
      </c>
      <c r="I37">
        <v>7.38</v>
      </c>
      <c r="J37">
        <v>1.23</v>
      </c>
      <c r="K37">
        <v>2805</v>
      </c>
      <c r="L37">
        <v>0.62</v>
      </c>
      <c r="M37">
        <v>24.1</v>
      </c>
      <c r="N37">
        <v>2</v>
      </c>
      <c r="O37">
        <v>161</v>
      </c>
      <c r="Q37">
        <v>5.85</v>
      </c>
      <c r="R37">
        <v>1.94</v>
      </c>
      <c r="S37">
        <v>322</v>
      </c>
      <c r="T37">
        <v>3064</v>
      </c>
      <c r="U37">
        <v>1.02474916</v>
      </c>
    </row>
    <row r="38" spans="1:21" ht="12.75">
      <c r="A38">
        <v>120</v>
      </c>
      <c r="B38" s="3">
        <v>0.35</v>
      </c>
      <c r="C38" s="3">
        <v>-0.455931955649724</v>
      </c>
      <c r="D38" s="3">
        <f t="shared" si="3"/>
        <v>0.43078291609245417</v>
      </c>
      <c r="E38" s="3">
        <f t="shared" si="4"/>
        <v>-0.36574152820110817</v>
      </c>
      <c r="F38">
        <v>0.426</v>
      </c>
      <c r="G38">
        <v>4.13</v>
      </c>
      <c r="H38" s="5">
        <f t="shared" si="5"/>
        <v>14.527845036319613</v>
      </c>
      <c r="I38">
        <v>6.19</v>
      </c>
      <c r="J38">
        <v>2.17</v>
      </c>
      <c r="K38">
        <v>1806</v>
      </c>
      <c r="L38">
        <v>1.46</v>
      </c>
      <c r="M38">
        <v>31.1</v>
      </c>
      <c r="N38">
        <v>2</v>
      </c>
      <c r="O38">
        <v>155</v>
      </c>
      <c r="Q38">
        <v>3.09</v>
      </c>
      <c r="R38">
        <v>1.77</v>
      </c>
      <c r="S38">
        <v>322</v>
      </c>
      <c r="T38">
        <v>2372</v>
      </c>
      <c r="U38">
        <v>0.86886447</v>
      </c>
    </row>
    <row r="39" spans="1:21" ht="12.75">
      <c r="A39">
        <v>122</v>
      </c>
      <c r="B39" s="3">
        <v>0.14</v>
      </c>
      <c r="C39" s="3">
        <v>-0.853871964321762</v>
      </c>
      <c r="D39" s="3">
        <f t="shared" si="3"/>
        <v>0.15082288973458366</v>
      </c>
      <c r="E39" s="3">
        <f t="shared" si="4"/>
        <v>-0.8215327424779075</v>
      </c>
      <c r="F39">
        <v>0.362</v>
      </c>
      <c r="G39">
        <v>3.31</v>
      </c>
      <c r="H39" s="5">
        <f t="shared" si="5"/>
        <v>18.12688821752266</v>
      </c>
      <c r="I39">
        <v>6.57</v>
      </c>
      <c r="J39">
        <v>0.89</v>
      </c>
      <c r="K39">
        <v>2648</v>
      </c>
      <c r="L39">
        <v>0.47</v>
      </c>
      <c r="M39">
        <v>28.6</v>
      </c>
      <c r="N39">
        <v>2</v>
      </c>
      <c r="O39">
        <v>180</v>
      </c>
      <c r="Q39">
        <v>3.86</v>
      </c>
      <c r="R39">
        <v>1.45</v>
      </c>
      <c r="S39">
        <v>336</v>
      </c>
      <c r="T39">
        <v>3070</v>
      </c>
      <c r="U39">
        <v>0.85041551</v>
      </c>
    </row>
    <row r="40" spans="1:21" ht="12.75">
      <c r="A40">
        <v>123</v>
      </c>
      <c r="B40" s="3">
        <v>0.15</v>
      </c>
      <c r="C40" s="3">
        <v>-0.823908740944319</v>
      </c>
      <c r="D40" s="3">
        <f t="shared" si="3"/>
        <v>0.1625189294977749</v>
      </c>
      <c r="E40" s="3">
        <f t="shared" si="4"/>
        <v>-0.7890960470073316</v>
      </c>
      <c r="F40">
        <v>0.319</v>
      </c>
      <c r="G40">
        <v>3.56</v>
      </c>
      <c r="H40" s="5">
        <f t="shared" si="5"/>
        <v>16.853932584269664</v>
      </c>
      <c r="I40">
        <v>5.39</v>
      </c>
      <c r="J40">
        <v>0.82</v>
      </c>
      <c r="K40">
        <v>2869</v>
      </c>
      <c r="L40">
        <v>0.41</v>
      </c>
      <c r="M40">
        <v>18.8</v>
      </c>
      <c r="N40">
        <v>2</v>
      </c>
      <c r="O40">
        <v>160</v>
      </c>
      <c r="Q40">
        <v>4.65</v>
      </c>
      <c r="R40">
        <v>1.65</v>
      </c>
      <c r="S40">
        <v>348</v>
      </c>
      <c r="T40">
        <v>2779</v>
      </c>
      <c r="U40">
        <v>0.87459283</v>
      </c>
    </row>
    <row r="41" spans="1:21" ht="12.75">
      <c r="A41">
        <v>124</v>
      </c>
      <c r="B41" s="3">
        <v>0.24</v>
      </c>
      <c r="C41" s="3">
        <v>-0.619788758288394</v>
      </c>
      <c r="D41" s="3">
        <f t="shared" si="3"/>
        <v>0.27443684570176025</v>
      </c>
      <c r="E41" s="3">
        <f t="shared" si="4"/>
        <v>-0.5615575809729126</v>
      </c>
      <c r="F41">
        <v>0.494</v>
      </c>
      <c r="G41">
        <v>3.06</v>
      </c>
      <c r="H41" s="5">
        <f t="shared" si="5"/>
        <v>19.607843137254903</v>
      </c>
      <c r="I41">
        <v>9.68</v>
      </c>
      <c r="J41">
        <v>2.28</v>
      </c>
      <c r="K41">
        <v>2859</v>
      </c>
      <c r="L41">
        <v>1.13</v>
      </c>
      <c r="M41">
        <v>34.6</v>
      </c>
      <c r="N41">
        <v>1</v>
      </c>
      <c r="O41">
        <v>178</v>
      </c>
      <c r="Q41">
        <v>2.66</v>
      </c>
      <c r="R41">
        <v>0.93</v>
      </c>
      <c r="S41">
        <v>320</v>
      </c>
      <c r="T41">
        <v>4141</v>
      </c>
      <c r="U41">
        <v>0.98361045</v>
      </c>
    </row>
    <row r="42" spans="1:21" ht="12.75">
      <c r="A42">
        <v>125</v>
      </c>
      <c r="B42" s="3">
        <v>0.4</v>
      </c>
      <c r="C42" s="3">
        <v>-0.397940008672038</v>
      </c>
      <c r="D42" s="3">
        <f t="shared" si="3"/>
        <v>0.5108256237659907</v>
      </c>
      <c r="E42" s="3">
        <f t="shared" si="4"/>
        <v>-0.2917273260110778</v>
      </c>
      <c r="F42">
        <v>0.519</v>
      </c>
      <c r="G42">
        <v>4.58</v>
      </c>
      <c r="H42" s="5">
        <f t="shared" si="5"/>
        <v>13.100436681222707</v>
      </c>
      <c r="I42">
        <v>6.81</v>
      </c>
      <c r="J42">
        <v>2.74</v>
      </c>
      <c r="K42">
        <v>3665</v>
      </c>
      <c r="L42">
        <v>1.15</v>
      </c>
      <c r="M42">
        <v>21.7</v>
      </c>
      <c r="N42">
        <v>1</v>
      </c>
      <c r="O42">
        <v>176</v>
      </c>
      <c r="Q42">
        <v>3.16</v>
      </c>
      <c r="R42">
        <v>0.76</v>
      </c>
      <c r="S42">
        <v>330</v>
      </c>
      <c r="T42">
        <v>3890</v>
      </c>
      <c r="U42">
        <v>0.88208617</v>
      </c>
    </row>
    <row r="43" spans="1:21" ht="12.75">
      <c r="A43">
        <v>126</v>
      </c>
      <c r="B43" s="3">
        <v>0.14</v>
      </c>
      <c r="C43" s="3">
        <v>-0.853871964321762</v>
      </c>
      <c r="D43" s="3">
        <f t="shared" si="3"/>
        <v>0.15082288973458366</v>
      </c>
      <c r="E43" s="3">
        <f t="shared" si="4"/>
        <v>-0.8215327424779075</v>
      </c>
      <c r="F43">
        <v>0.462</v>
      </c>
      <c r="G43">
        <v>3.97</v>
      </c>
      <c r="H43" s="5">
        <f t="shared" si="5"/>
        <v>15.113350125944583</v>
      </c>
      <c r="I43">
        <v>6.98</v>
      </c>
      <c r="J43">
        <v>0.97</v>
      </c>
      <c r="K43">
        <v>3365</v>
      </c>
      <c r="L43">
        <v>0.43</v>
      </c>
      <c r="M43">
        <v>27.7</v>
      </c>
      <c r="N43">
        <v>1</v>
      </c>
      <c r="O43">
        <v>185</v>
      </c>
      <c r="Q43">
        <v>1.52</v>
      </c>
      <c r="R43">
        <v>0.34</v>
      </c>
      <c r="S43">
        <v>349</v>
      </c>
      <c r="T43">
        <v>5054</v>
      </c>
      <c r="U43">
        <v>1.00878244</v>
      </c>
    </row>
    <row r="44" spans="1:21" ht="12.75">
      <c r="A44">
        <v>127</v>
      </c>
      <c r="B44" s="3">
        <v>0.25</v>
      </c>
      <c r="C44" s="3">
        <v>-0.602059991327962</v>
      </c>
      <c r="D44" s="3">
        <f t="shared" si="3"/>
        <v>0.2876820724517809</v>
      </c>
      <c r="E44" s="3">
        <f t="shared" si="4"/>
        <v>-0.5410872012930469</v>
      </c>
      <c r="F44">
        <v>0.35</v>
      </c>
      <c r="G44">
        <v>3.18</v>
      </c>
      <c r="H44" s="5">
        <f t="shared" si="5"/>
        <v>18.867924528301884</v>
      </c>
      <c r="I44">
        <v>6.6</v>
      </c>
      <c r="J44">
        <v>1.62</v>
      </c>
      <c r="K44">
        <v>3211</v>
      </c>
      <c r="L44">
        <v>0.75</v>
      </c>
      <c r="M44">
        <v>26.1</v>
      </c>
      <c r="N44">
        <v>2</v>
      </c>
      <c r="O44">
        <v>166</v>
      </c>
      <c r="Q44">
        <v>4.34</v>
      </c>
      <c r="R44">
        <v>1.31</v>
      </c>
      <c r="S44">
        <v>309</v>
      </c>
      <c r="T44">
        <v>3352</v>
      </c>
      <c r="U44">
        <v>1.06751592</v>
      </c>
    </row>
    <row r="45" spans="1:21" ht="12.75">
      <c r="A45">
        <v>128</v>
      </c>
      <c r="B45" s="3">
        <v>0.2</v>
      </c>
      <c r="C45" s="3">
        <v>-0.698970004336019</v>
      </c>
      <c r="D45" s="3">
        <f t="shared" si="3"/>
        <v>0.22314355131420968</v>
      </c>
      <c r="E45" s="3">
        <f t="shared" si="4"/>
        <v>-0.6514156594356943</v>
      </c>
      <c r="F45">
        <v>0.479</v>
      </c>
      <c r="G45">
        <v>3.41</v>
      </c>
      <c r="H45" s="5">
        <f t="shared" si="5"/>
        <v>17.59530791788856</v>
      </c>
      <c r="I45">
        <v>8.44</v>
      </c>
      <c r="J45">
        <v>1.71</v>
      </c>
      <c r="K45">
        <v>2337</v>
      </c>
      <c r="L45">
        <v>0.97</v>
      </c>
      <c r="M45">
        <v>24.8</v>
      </c>
      <c r="N45">
        <v>2</v>
      </c>
      <c r="O45">
        <v>168</v>
      </c>
      <c r="Q45">
        <v>2.9</v>
      </c>
      <c r="R45">
        <v>0.8</v>
      </c>
      <c r="S45">
        <v>324</v>
      </c>
      <c r="T45">
        <v>3580</v>
      </c>
      <c r="U45">
        <v>1.07831325</v>
      </c>
    </row>
    <row r="46" spans="1:21" ht="12.75">
      <c r="A46">
        <v>131</v>
      </c>
      <c r="B46" s="3">
        <v>0.17</v>
      </c>
      <c r="C46" s="3">
        <v>-0.769551078621726</v>
      </c>
      <c r="D46" s="3">
        <f t="shared" si="3"/>
        <v>0.18632957819149348</v>
      </c>
      <c r="E46" s="3">
        <f t="shared" si="4"/>
        <v>-0.7297181991792839</v>
      </c>
      <c r="F46">
        <v>0.41</v>
      </c>
      <c r="G46">
        <v>2.93</v>
      </c>
      <c r="H46" s="5">
        <f t="shared" si="5"/>
        <v>20.477815699658702</v>
      </c>
      <c r="I46">
        <v>8.4</v>
      </c>
      <c r="J46">
        <v>1.44</v>
      </c>
      <c r="K46">
        <v>2228</v>
      </c>
      <c r="L46">
        <v>0.84</v>
      </c>
      <c r="M46">
        <v>23.3</v>
      </c>
      <c r="N46">
        <v>2</v>
      </c>
      <c r="O46">
        <v>175</v>
      </c>
      <c r="Q46">
        <v>3.46</v>
      </c>
      <c r="R46">
        <v>1.29</v>
      </c>
      <c r="S46">
        <v>334</v>
      </c>
      <c r="T46">
        <v>3851</v>
      </c>
      <c r="U46">
        <v>1.08174157</v>
      </c>
    </row>
    <row r="47" spans="3:5" ht="12.75">
      <c r="C47" t="s">
        <v>50</v>
      </c>
      <c r="E47" t="s">
        <v>50</v>
      </c>
    </row>
    <row r="48" spans="3:21" ht="12.75">
      <c r="C48" t="s">
        <v>339</v>
      </c>
      <c r="E48" t="s">
        <v>339</v>
      </c>
      <c r="I48">
        <v>7.29572516</v>
      </c>
      <c r="J48">
        <v>1.60117475</v>
      </c>
      <c r="L48">
        <v>0.81584287</v>
      </c>
      <c r="M48">
        <v>26.6333333</v>
      </c>
      <c r="N48">
        <v>0.10312377</v>
      </c>
      <c r="U48">
        <v>3466.16667</v>
      </c>
    </row>
    <row r="49" spans="3:21" ht="12.75">
      <c r="C49" s="45">
        <v>0.12891729430386828</v>
      </c>
      <c r="E49" s="180">
        <f>STDEV(E6:E46)</f>
        <v>0.1476078173758378</v>
      </c>
      <c r="U49">
        <v>0.96784412</v>
      </c>
    </row>
    <row r="51" spans="3:5" ht="12.75">
      <c r="C51" s="45" t="s">
        <v>51</v>
      </c>
      <c r="E51" s="45" t="s">
        <v>51</v>
      </c>
    </row>
    <row r="52" spans="3:5" ht="12.75">
      <c r="C52" s="45" t="s">
        <v>49</v>
      </c>
      <c r="E52" s="45" t="s">
        <v>49</v>
      </c>
    </row>
    <row r="53" spans="3:5" ht="12.75">
      <c r="C53" s="45">
        <v>0.15452499508629808</v>
      </c>
      <c r="E53" s="180">
        <f>STDEV(E35:E46)</f>
        <v>0.17806237856438606</v>
      </c>
    </row>
    <row r="55" spans="3:5" ht="12.75">
      <c r="C55" s="45" t="s">
        <v>52</v>
      </c>
      <c r="E55" s="45" t="s">
        <v>52</v>
      </c>
    </row>
    <row r="56" spans="3:8" ht="12.75">
      <c r="C56" s="45" t="s">
        <v>338</v>
      </c>
      <c r="E56" s="45" t="s">
        <v>338</v>
      </c>
      <c r="H56" s="68"/>
    </row>
    <row r="57" spans="3:5" ht="12.75">
      <c r="C57" s="45">
        <v>0.1189970768431931</v>
      </c>
      <c r="E57" s="180">
        <f>STDEV(E6:E32)</f>
        <v>0.13557618572860006</v>
      </c>
    </row>
    <row r="61" ht="12.75">
      <c r="A61" s="71" t="s">
        <v>172</v>
      </c>
    </row>
    <row r="62" spans="1:2" ht="12.75">
      <c r="A62" t="s">
        <v>339</v>
      </c>
      <c r="B62" t="s">
        <v>332</v>
      </c>
    </row>
    <row r="63" spans="2:5" ht="12.75">
      <c r="B63" s="3">
        <f>AVERAGE(B6:B46)</f>
        <v>0.21323076923076925</v>
      </c>
      <c r="E63" s="38" t="s">
        <v>50</v>
      </c>
    </row>
    <row r="64" spans="2:6" ht="12.75">
      <c r="B64" s="3" t="s">
        <v>333</v>
      </c>
      <c r="C64" t="s">
        <v>126</v>
      </c>
      <c r="D64" s="12" t="s">
        <v>384</v>
      </c>
      <c r="E64" s="38" t="s">
        <v>339</v>
      </c>
      <c r="F64" s="85" t="s">
        <v>323</v>
      </c>
    </row>
    <row r="65" spans="2:6" ht="12.75">
      <c r="B65" s="3">
        <f>STDEV(B6:B46)</f>
        <v>0.068629233275034</v>
      </c>
      <c r="C65" s="3">
        <f>EXP(SQRT(LN(POWER(B65,2)/POWER(B63,2)+1)))</f>
        <v>1.368830131005621</v>
      </c>
      <c r="D65" s="13">
        <f>LOG10(C65)</f>
        <v>0.13634955642890248</v>
      </c>
      <c r="E65" s="94">
        <f>STDEV(C6:C46)</f>
        <v>0.12891729430386828</v>
      </c>
      <c r="F65" s="86">
        <f>E65/D65</f>
        <v>0.9454911162185581</v>
      </c>
    </row>
    <row r="66" ht="12.75">
      <c r="E66" s="94"/>
    </row>
    <row r="67" spans="1:5" ht="12.75">
      <c r="A67" t="s">
        <v>49</v>
      </c>
      <c r="B67" s="3" t="s">
        <v>334</v>
      </c>
      <c r="D67" s="12"/>
      <c r="E67" s="94"/>
    </row>
    <row r="68" spans="2:5" ht="12.75">
      <c r="B68" s="3">
        <f>AVERAGE(B35:B46)</f>
        <v>0.22</v>
      </c>
      <c r="D68" s="12"/>
      <c r="E68" s="98" t="s">
        <v>51</v>
      </c>
    </row>
    <row r="69" spans="2:6" ht="12.75">
      <c r="B69" s="3" t="s">
        <v>335</v>
      </c>
      <c r="C69" t="s">
        <v>126</v>
      </c>
      <c r="D69" s="12" t="s">
        <v>384</v>
      </c>
      <c r="E69" s="98" t="s">
        <v>49</v>
      </c>
      <c r="F69" s="85" t="s">
        <v>323</v>
      </c>
    </row>
    <row r="70" spans="2:6" ht="12.75">
      <c r="B70" s="3">
        <f>STDEV(B35:B46)</f>
        <v>0.08517361947543062</v>
      </c>
      <c r="C70" s="3">
        <f>EXP(SQRT(LN(POWER(B70,2)/POWER(B68,2)+1)))</f>
        <v>1.4531249709180698</v>
      </c>
      <c r="D70" s="13">
        <f>LOG10(C70)</f>
        <v>0.16230296587835114</v>
      </c>
      <c r="E70" s="94">
        <f>STDEV(C35:C46)</f>
        <v>0.15452499508629808</v>
      </c>
      <c r="F70" s="86">
        <f>E70/D70</f>
        <v>0.9520774574268546</v>
      </c>
    </row>
    <row r="71" ht="12.75">
      <c r="E71" s="94"/>
    </row>
    <row r="72" spans="1:5" ht="12.75">
      <c r="A72" t="s">
        <v>338</v>
      </c>
      <c r="B72" s="3" t="s">
        <v>336</v>
      </c>
      <c r="D72" s="12"/>
      <c r="E72" s="94"/>
    </row>
    <row r="73" spans="2:5" ht="12.75">
      <c r="B73" s="3">
        <f>AVERAGE(B6:B32)</f>
        <v>0.21022222222222228</v>
      </c>
      <c r="D73" s="12"/>
      <c r="E73" s="98" t="s">
        <v>52</v>
      </c>
    </row>
    <row r="74" spans="2:6" ht="12.75">
      <c r="B74" s="3" t="s">
        <v>337</v>
      </c>
      <c r="C74" t="s">
        <v>126</v>
      </c>
      <c r="D74" s="12" t="s">
        <v>384</v>
      </c>
      <c r="E74" s="98" t="s">
        <v>338</v>
      </c>
      <c r="F74" s="85" t="s">
        <v>323</v>
      </c>
    </row>
    <row r="75" spans="2:13" ht="12.75">
      <c r="B75" s="3">
        <f>STDEV(B6:B32)</f>
        <v>0.061514434411978694</v>
      </c>
      <c r="C75" s="3">
        <f>EXP(SQRT(LN(POWER(B75,2)/POWER(B73,2)+1)))</f>
        <v>1.3319276329934318</v>
      </c>
      <c r="D75" s="13">
        <f>LOG10(C75)</f>
        <v>0.1244806291545476</v>
      </c>
      <c r="E75" s="94">
        <f>STDEV(C6:C32)</f>
        <v>0.1189970768431931</v>
      </c>
      <c r="F75" s="86">
        <f>E75/D75</f>
        <v>0.9559485491951808</v>
      </c>
      <c r="M75" s="15"/>
    </row>
    <row r="76" ht="12.75">
      <c r="E76" s="2"/>
    </row>
    <row r="77" spans="1:5" ht="12.75">
      <c r="A77" s="71" t="s">
        <v>173</v>
      </c>
      <c r="E77" s="2"/>
    </row>
    <row r="78" spans="1:5" ht="12.75">
      <c r="A78" t="s">
        <v>339</v>
      </c>
      <c r="B78" t="s">
        <v>332</v>
      </c>
      <c r="E78" s="2"/>
    </row>
    <row r="79" spans="2:13" ht="12.75">
      <c r="B79" s="3">
        <f>AVERAGE(D6:D46)</f>
        <v>0.2438564055574826</v>
      </c>
      <c r="E79" s="98" t="s">
        <v>50</v>
      </c>
      <c r="I79" s="69"/>
      <c r="J79" s="69" t="s">
        <v>406</v>
      </c>
      <c r="K79" s="69"/>
      <c r="L79" s="69"/>
      <c r="M79" s="69"/>
    </row>
    <row r="80" spans="2:13" ht="12.75">
      <c r="B80" s="3" t="s">
        <v>333</v>
      </c>
      <c r="C80" t="s">
        <v>126</v>
      </c>
      <c r="D80" s="12" t="s">
        <v>384</v>
      </c>
      <c r="E80" s="98" t="s">
        <v>339</v>
      </c>
      <c r="F80" s="85" t="s">
        <v>323</v>
      </c>
      <c r="I80" s="69">
        <v>1</v>
      </c>
      <c r="J80" s="70">
        <v>0.114</v>
      </c>
      <c r="K80" s="69"/>
      <c r="L80" s="70">
        <v>0</v>
      </c>
      <c r="M80" s="69">
        <v>0</v>
      </c>
    </row>
    <row r="81" spans="2:13" ht="12.75">
      <c r="B81" s="3">
        <f>STDEV(D6:D46)</f>
        <v>0.09306885961013277</v>
      </c>
      <c r="C81" s="3">
        <f>EXP(SQRT(LN(POWER(B81,2)/POWER(B79,2)+1)))</f>
        <v>1.4459346438551295</v>
      </c>
      <c r="D81" s="13">
        <f>LOG10(C81)</f>
        <v>0.1601486633219012</v>
      </c>
      <c r="E81" s="94">
        <f>STDEV(E6:E46)</f>
        <v>0.1476078173758378</v>
      </c>
      <c r="F81" s="86">
        <f>E81/D81</f>
        <v>0.9216924719449197</v>
      </c>
      <c r="I81" s="69">
        <f>I80+1</f>
        <v>2</v>
      </c>
      <c r="J81" s="70">
        <v>0.131</v>
      </c>
      <c r="K81" s="69"/>
      <c r="L81" s="70">
        <f>L80+0.05</f>
        <v>0.05</v>
      </c>
      <c r="M81" s="69">
        <v>0</v>
      </c>
    </row>
    <row r="82" spans="4:13" ht="12.75">
      <c r="D82" s="3"/>
      <c r="E82" s="94"/>
      <c r="I82" s="69">
        <f aca="true" t="shared" si="6" ref="I82:I106">I81+1</f>
        <v>3</v>
      </c>
      <c r="J82" s="70">
        <v>0.14</v>
      </c>
      <c r="K82" s="69"/>
      <c r="L82" s="70">
        <f aca="true" t="shared" si="7" ref="L82:L98">L81+0.05</f>
        <v>0.1</v>
      </c>
      <c r="M82" s="69">
        <v>0</v>
      </c>
    </row>
    <row r="83" spans="1:13" ht="12.75">
      <c r="A83" t="s">
        <v>49</v>
      </c>
      <c r="B83" s="3" t="s">
        <v>334</v>
      </c>
      <c r="D83" s="62"/>
      <c r="E83" s="94"/>
      <c r="I83" s="69">
        <f t="shared" si="6"/>
        <v>4</v>
      </c>
      <c r="J83" s="70">
        <v>0.14</v>
      </c>
      <c r="K83" s="69"/>
      <c r="L83" s="70">
        <f t="shared" si="7"/>
        <v>0.15000000000000002</v>
      </c>
      <c r="M83" s="69">
        <v>6</v>
      </c>
    </row>
    <row r="84" spans="2:13" ht="12.75">
      <c r="B84" s="3">
        <f>AVERAGE(D35:D46)</f>
        <v>0.25439658388838354</v>
      </c>
      <c r="D84" s="62"/>
      <c r="E84" s="98" t="s">
        <v>51</v>
      </c>
      <c r="I84" s="69">
        <f t="shared" si="6"/>
        <v>5</v>
      </c>
      <c r="J84" s="70">
        <v>0.15</v>
      </c>
      <c r="K84" s="69"/>
      <c r="L84" s="70">
        <f t="shared" si="7"/>
        <v>0.2</v>
      </c>
      <c r="M84" s="69">
        <v>16</v>
      </c>
    </row>
    <row r="85" spans="2:13" ht="12.75">
      <c r="B85" s="3" t="s">
        <v>335</v>
      </c>
      <c r="C85" t="s">
        <v>126</v>
      </c>
      <c r="D85" s="62" t="s">
        <v>384</v>
      </c>
      <c r="E85" s="98" t="s">
        <v>49</v>
      </c>
      <c r="F85" s="85" t="s">
        <v>323</v>
      </c>
      <c r="I85" s="69">
        <f t="shared" si="6"/>
        <v>6</v>
      </c>
      <c r="J85" s="70">
        <v>0.15</v>
      </c>
      <c r="K85" s="69"/>
      <c r="L85" s="70">
        <f t="shared" si="7"/>
        <v>0.25</v>
      </c>
      <c r="M85" s="69">
        <v>11</v>
      </c>
    </row>
    <row r="86" spans="2:13" ht="12.75">
      <c r="B86" s="3">
        <f>STDEV(D35:D46)</f>
        <v>0.11621365436573317</v>
      </c>
      <c r="C86" s="3">
        <f>EXP(SQRT(LN(POWER(B86,2)/POWER(B84,2)+1)))</f>
        <v>1.5455102463898425</v>
      </c>
      <c r="D86" s="13">
        <f>LOG10(C86)</f>
        <v>0.18907188868487332</v>
      </c>
      <c r="E86" s="94">
        <f>STDEV(E35:E46)</f>
        <v>0.17806237856438606</v>
      </c>
      <c r="F86" s="86">
        <f>E86/D86</f>
        <v>0.9417707719689793</v>
      </c>
      <c r="I86" s="69">
        <f t="shared" si="6"/>
        <v>7</v>
      </c>
      <c r="J86" s="70">
        <v>0.16</v>
      </c>
      <c r="K86" s="69"/>
      <c r="L86" s="70">
        <f t="shared" si="7"/>
        <v>0.3</v>
      </c>
      <c r="M86" s="69">
        <v>3</v>
      </c>
    </row>
    <row r="87" spans="4:13" ht="12.75">
      <c r="D87" s="3"/>
      <c r="E87" s="94"/>
      <c r="I87" s="69">
        <f t="shared" si="6"/>
        <v>8</v>
      </c>
      <c r="J87" s="70">
        <v>0.16</v>
      </c>
      <c r="K87" s="69"/>
      <c r="L87" s="70">
        <f t="shared" si="7"/>
        <v>0.35</v>
      </c>
      <c r="M87" s="69">
        <v>2</v>
      </c>
    </row>
    <row r="88" spans="1:13" ht="12.75">
      <c r="A88" t="s">
        <v>338</v>
      </c>
      <c r="B88" s="3" t="s">
        <v>336</v>
      </c>
      <c r="D88" s="62"/>
      <c r="E88" s="94"/>
      <c r="I88" s="69">
        <f t="shared" si="6"/>
        <v>9</v>
      </c>
      <c r="J88" s="70">
        <v>0.16</v>
      </c>
      <c r="K88" s="69"/>
      <c r="L88" s="70">
        <f t="shared" si="7"/>
        <v>0.39999999999999997</v>
      </c>
      <c r="M88" s="69">
        <v>1</v>
      </c>
    </row>
    <row r="89" spans="2:13" ht="12.75">
      <c r="B89" s="3">
        <f>AVERAGE(D6:D32)</f>
        <v>0.2391718818548599</v>
      </c>
      <c r="D89" s="62"/>
      <c r="E89" s="98" t="s">
        <v>52</v>
      </c>
      <c r="I89" s="69">
        <f t="shared" si="6"/>
        <v>10</v>
      </c>
      <c r="J89" s="70">
        <v>0.16</v>
      </c>
      <c r="K89" s="69"/>
      <c r="L89" s="70">
        <f t="shared" si="7"/>
        <v>0.44999999999999996</v>
      </c>
      <c r="M89" s="69">
        <v>1</v>
      </c>
    </row>
    <row r="90" spans="2:13" ht="12.75">
      <c r="B90" s="3" t="s">
        <v>337</v>
      </c>
      <c r="C90" t="s">
        <v>126</v>
      </c>
      <c r="D90" s="62" t="s">
        <v>384</v>
      </c>
      <c r="E90" s="98" t="s">
        <v>338</v>
      </c>
      <c r="F90" s="85" t="s">
        <v>323</v>
      </c>
      <c r="I90" s="69">
        <f t="shared" si="6"/>
        <v>11</v>
      </c>
      <c r="J90" s="70">
        <v>0.163</v>
      </c>
      <c r="K90" s="69"/>
      <c r="L90" s="70">
        <f t="shared" si="7"/>
        <v>0.49999999999999994</v>
      </c>
      <c r="M90" s="69">
        <v>0</v>
      </c>
    </row>
    <row r="91" spans="2:13" ht="12.75">
      <c r="B91" s="3">
        <f>STDEV(D6:D32)</f>
        <v>0.08289508636777082</v>
      </c>
      <c r="C91" s="3">
        <f>EXP(SQRT(LN(POWER(B91,2)/POWER(B89,2)+1)))</f>
        <v>1.400473534365815</v>
      </c>
      <c r="D91" s="13">
        <f>LOG10(C91)</f>
        <v>0.14627490609961594</v>
      </c>
      <c r="E91" s="94">
        <f>STDEV(E6:E32)</f>
        <v>0.13557618572860006</v>
      </c>
      <c r="F91" s="86">
        <f>E91/D91</f>
        <v>0.9268588122440505</v>
      </c>
      <c r="I91" s="69">
        <f t="shared" si="6"/>
        <v>12</v>
      </c>
      <c r="J91" s="70">
        <v>0.17</v>
      </c>
      <c r="K91" s="69"/>
      <c r="L91" s="70">
        <f t="shared" si="7"/>
        <v>0.5499999999999999</v>
      </c>
      <c r="M91" s="69">
        <v>0</v>
      </c>
    </row>
    <row r="92" spans="9:13" ht="12.75">
      <c r="I92" s="69">
        <f t="shared" si="6"/>
        <v>13</v>
      </c>
      <c r="J92" s="70">
        <v>0.17</v>
      </c>
      <c r="K92" s="69"/>
      <c r="L92" s="70">
        <f t="shared" si="7"/>
        <v>0.6</v>
      </c>
      <c r="M92" s="69">
        <v>0</v>
      </c>
    </row>
    <row r="93" spans="9:13" ht="12.75">
      <c r="I93" s="69">
        <f t="shared" si="6"/>
        <v>14</v>
      </c>
      <c r="J93" s="70">
        <v>0.17</v>
      </c>
      <c r="K93" s="69"/>
      <c r="L93" s="70">
        <f t="shared" si="7"/>
        <v>0.65</v>
      </c>
      <c r="M93" s="69">
        <v>0</v>
      </c>
    </row>
    <row r="94" spans="9:13" ht="12.75">
      <c r="I94" s="69">
        <f t="shared" si="6"/>
        <v>15</v>
      </c>
      <c r="J94" s="70">
        <v>0.17</v>
      </c>
      <c r="K94" s="69"/>
      <c r="L94" s="70">
        <f t="shared" si="7"/>
        <v>0.7000000000000001</v>
      </c>
      <c r="M94" s="69">
        <v>0</v>
      </c>
    </row>
    <row r="95" spans="9:13" ht="12.75">
      <c r="I95" s="69">
        <f t="shared" si="6"/>
        <v>16</v>
      </c>
      <c r="J95" s="70">
        <v>0.18</v>
      </c>
      <c r="K95" s="69"/>
      <c r="L95" s="70">
        <f t="shared" si="7"/>
        <v>0.7500000000000001</v>
      </c>
      <c r="M95" s="69">
        <v>0</v>
      </c>
    </row>
    <row r="96" spans="9:13" ht="12.75">
      <c r="I96" s="69">
        <f t="shared" si="6"/>
        <v>17</v>
      </c>
      <c r="J96" s="70">
        <v>0.186</v>
      </c>
      <c r="K96" s="69"/>
      <c r="L96" s="70">
        <f t="shared" si="7"/>
        <v>0.8000000000000002</v>
      </c>
      <c r="M96" s="69">
        <v>0</v>
      </c>
    </row>
    <row r="97" spans="9:13" ht="12.75">
      <c r="I97" s="69">
        <f t="shared" si="6"/>
        <v>18</v>
      </c>
      <c r="J97" s="70">
        <v>0.19</v>
      </c>
      <c r="K97" s="69"/>
      <c r="L97" s="70">
        <f t="shared" si="7"/>
        <v>0.8500000000000002</v>
      </c>
      <c r="M97" s="69">
        <v>0</v>
      </c>
    </row>
    <row r="98" spans="9:13" ht="12.75">
      <c r="I98" s="69">
        <f t="shared" si="6"/>
        <v>19</v>
      </c>
      <c r="J98" s="70">
        <v>0.2</v>
      </c>
      <c r="K98" s="69"/>
      <c r="L98" s="70">
        <f t="shared" si="7"/>
        <v>0.9000000000000002</v>
      </c>
      <c r="M98" s="69">
        <v>0</v>
      </c>
    </row>
    <row r="99" spans="9:13" ht="12.75">
      <c r="I99" s="69">
        <f t="shared" si="6"/>
        <v>20</v>
      </c>
      <c r="J99" s="70">
        <v>0.2</v>
      </c>
      <c r="K99" s="69"/>
      <c r="L99" s="70">
        <f>L98+0.05</f>
        <v>0.9500000000000003</v>
      </c>
      <c r="M99" s="69">
        <v>0</v>
      </c>
    </row>
    <row r="100" spans="9:13" ht="12.75">
      <c r="I100" s="69">
        <f t="shared" si="6"/>
        <v>21</v>
      </c>
      <c r="J100" s="70">
        <v>0.2</v>
      </c>
      <c r="K100" s="69"/>
      <c r="L100" s="70">
        <f>L99+0.05</f>
        <v>1.0000000000000002</v>
      </c>
      <c r="M100" s="69">
        <v>0</v>
      </c>
    </row>
    <row r="101" spans="9:13" ht="12.75">
      <c r="I101" s="69">
        <f t="shared" si="6"/>
        <v>22</v>
      </c>
      <c r="J101" s="70">
        <v>0.21</v>
      </c>
      <c r="K101" s="69"/>
      <c r="L101" s="69"/>
      <c r="M101" s="69"/>
    </row>
    <row r="102" spans="9:13" ht="12.75">
      <c r="I102" s="69">
        <f t="shared" si="6"/>
        <v>23</v>
      </c>
      <c r="J102" s="70">
        <v>0.22</v>
      </c>
      <c r="K102" s="69"/>
      <c r="L102" s="69"/>
      <c r="M102" s="69"/>
    </row>
    <row r="103" spans="9:13" ht="12.75">
      <c r="I103" s="69">
        <f t="shared" si="6"/>
        <v>24</v>
      </c>
      <c r="J103" s="70">
        <v>0.222</v>
      </c>
      <c r="K103" s="69"/>
      <c r="L103" s="69"/>
      <c r="M103" s="69"/>
    </row>
    <row r="104" spans="9:13" ht="12.75">
      <c r="I104" s="69">
        <f t="shared" si="6"/>
        <v>25</v>
      </c>
      <c r="J104" s="70">
        <v>0.23</v>
      </c>
      <c r="K104" s="69"/>
      <c r="L104" s="69"/>
      <c r="M104" s="69"/>
    </row>
    <row r="105" spans="9:13" ht="12.75">
      <c r="I105" s="69">
        <f t="shared" si="6"/>
        <v>26</v>
      </c>
      <c r="J105" s="70">
        <v>0.23</v>
      </c>
      <c r="K105" s="69"/>
      <c r="L105" s="69"/>
      <c r="M105" s="69"/>
    </row>
    <row r="106" spans="9:13" ht="12.75">
      <c r="I106" s="69">
        <f t="shared" si="6"/>
        <v>27</v>
      </c>
      <c r="J106" s="70">
        <v>0.23</v>
      </c>
      <c r="K106" s="69"/>
      <c r="L106" s="69"/>
      <c r="M106" s="69"/>
    </row>
    <row r="107" spans="9:13" ht="12.75">
      <c r="I107" s="69">
        <v>28</v>
      </c>
      <c r="J107" s="70">
        <v>0.24</v>
      </c>
      <c r="K107" s="69"/>
      <c r="L107" s="69"/>
      <c r="M107" s="69"/>
    </row>
    <row r="108" spans="9:13" ht="12.75">
      <c r="I108" s="69">
        <f aca="true" t="shared" si="8" ref="I108:I118">I107+1</f>
        <v>29</v>
      </c>
      <c r="J108" s="70">
        <v>0.24</v>
      </c>
      <c r="K108" s="69"/>
      <c r="L108" s="69"/>
      <c r="M108" s="69"/>
    </row>
    <row r="109" spans="9:13" ht="12.75">
      <c r="I109" s="69">
        <f t="shared" si="8"/>
        <v>30</v>
      </c>
      <c r="J109" s="70">
        <v>0.24</v>
      </c>
      <c r="K109" s="69"/>
      <c r="L109" s="69"/>
      <c r="M109" s="69"/>
    </row>
    <row r="110" spans="9:13" ht="12.75">
      <c r="I110" s="69">
        <f t="shared" si="8"/>
        <v>31</v>
      </c>
      <c r="J110" s="70">
        <v>0.25</v>
      </c>
      <c r="K110" s="69"/>
      <c r="L110" s="69"/>
      <c r="M110" s="69"/>
    </row>
    <row r="111" spans="9:13" ht="12.75">
      <c r="I111" s="69">
        <f t="shared" si="8"/>
        <v>32</v>
      </c>
      <c r="J111" s="70">
        <v>0.25</v>
      </c>
      <c r="K111" s="69"/>
      <c r="L111" s="69"/>
      <c r="M111" s="69"/>
    </row>
    <row r="112" spans="9:13" ht="12.75">
      <c r="I112" s="69">
        <f t="shared" si="8"/>
        <v>33</v>
      </c>
      <c r="J112" s="70">
        <v>0.26</v>
      </c>
      <c r="K112" s="69"/>
      <c r="L112" s="69"/>
      <c r="M112" s="69"/>
    </row>
    <row r="113" spans="9:13" ht="12.75">
      <c r="I113" s="69">
        <f t="shared" si="8"/>
        <v>34</v>
      </c>
      <c r="J113" s="70">
        <v>0.27</v>
      </c>
      <c r="K113" s="69"/>
      <c r="L113" s="69"/>
      <c r="M113" s="69"/>
    </row>
    <row r="114" spans="9:13" ht="12.75">
      <c r="I114" s="69">
        <f t="shared" si="8"/>
        <v>35</v>
      </c>
      <c r="J114" s="70">
        <v>0.28</v>
      </c>
      <c r="K114" s="69"/>
      <c r="L114" s="69"/>
      <c r="M114" s="69"/>
    </row>
    <row r="115" spans="9:13" ht="12.75">
      <c r="I115" s="69">
        <f t="shared" si="8"/>
        <v>36</v>
      </c>
      <c r="J115" s="70">
        <v>0.32</v>
      </c>
      <c r="K115" s="69"/>
      <c r="L115" s="69"/>
      <c r="M115" s="69"/>
    </row>
    <row r="116" spans="9:13" ht="12.75">
      <c r="I116" s="69">
        <f t="shared" si="8"/>
        <v>37</v>
      </c>
      <c r="J116" s="70">
        <v>0.35</v>
      </c>
      <c r="K116" s="69"/>
      <c r="L116" s="69"/>
      <c r="M116" s="69"/>
    </row>
    <row r="117" spans="9:13" ht="12.75">
      <c r="I117" s="69">
        <f t="shared" si="8"/>
        <v>38</v>
      </c>
      <c r="J117" s="70">
        <v>0.4</v>
      </c>
      <c r="K117" s="69"/>
      <c r="L117" s="69"/>
      <c r="M117" s="69"/>
    </row>
    <row r="118" spans="9:13" ht="12.75">
      <c r="I118" s="69">
        <f t="shared" si="8"/>
        <v>39</v>
      </c>
      <c r="J118" s="70">
        <v>0.41</v>
      </c>
      <c r="K118" s="69"/>
      <c r="L118" s="69"/>
      <c r="M118" s="6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9"/>
  <sheetViews>
    <sheetView workbookViewId="0" topLeftCell="O85">
      <selection activeCell="T130" sqref="T130"/>
    </sheetView>
  </sheetViews>
  <sheetFormatPr defaultColWidth="11.00390625" defaultRowHeight="12"/>
  <cols>
    <col min="1" max="16384" width="10.875" style="192" customWidth="1"/>
  </cols>
  <sheetData>
    <row r="1" ht="18.75">
      <c r="A1" s="53" t="s">
        <v>74</v>
      </c>
    </row>
    <row r="3" spans="1:23" ht="12.75">
      <c r="A3" t="s">
        <v>234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110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 t="s">
        <v>75</v>
      </c>
      <c r="B7" t="s">
        <v>76</v>
      </c>
      <c r="C7"/>
      <c r="D7"/>
      <c r="E7"/>
      <c r="F7"/>
      <c r="G7"/>
      <c r="H7"/>
      <c r="I7" t="s">
        <v>75</v>
      </c>
      <c r="J7" t="s">
        <v>76</v>
      </c>
      <c r="K7"/>
      <c r="L7"/>
      <c r="M7"/>
      <c r="N7"/>
      <c r="O7"/>
      <c r="P7"/>
      <c r="Q7" t="s">
        <v>75</v>
      </c>
      <c r="R7" t="s">
        <v>76</v>
      </c>
      <c r="S7"/>
      <c r="T7"/>
      <c r="U7"/>
      <c r="V7"/>
      <c r="W7"/>
    </row>
    <row r="8" spans="1:23" ht="12.75">
      <c r="A8" s="209">
        <v>0.1393</v>
      </c>
      <c r="B8" s="209">
        <v>0.1465</v>
      </c>
      <c r="C8" s="209">
        <f>-LN(1-B8)</f>
        <v>0.15840973674764172</v>
      </c>
      <c r="D8" s="211">
        <f>LOG(C8)</f>
        <v>-0.8002181277603343</v>
      </c>
      <c r="E8" s="209"/>
      <c r="F8" s="209"/>
      <c r="G8" s="209"/>
      <c r="H8"/>
      <c r="I8" s="209">
        <v>0.7677</v>
      </c>
      <c r="J8" s="209">
        <v>0.1143</v>
      </c>
      <c r="K8" s="209"/>
      <c r="L8" s="209"/>
      <c r="M8"/>
      <c r="N8"/>
      <c r="O8"/>
      <c r="P8"/>
      <c r="Q8" s="209">
        <v>2.375</v>
      </c>
      <c r="R8" s="209">
        <v>0.5146</v>
      </c>
      <c r="S8"/>
      <c r="T8"/>
      <c r="U8"/>
      <c r="V8"/>
      <c r="W8"/>
    </row>
    <row r="9" spans="1:23" ht="12.75">
      <c r="A9" s="209">
        <v>0.1402</v>
      </c>
      <c r="B9" s="209">
        <v>0.1883</v>
      </c>
      <c r="C9" s="209">
        <f aca="true" t="shared" si="0" ref="C9:C20">-LN(1-B9)</f>
        <v>0.20862446521500708</v>
      </c>
      <c r="D9" s="211">
        <f aca="true" t="shared" si="1" ref="D9:D20">LOG(C9)</f>
        <v>-0.6806347635755806</v>
      </c>
      <c r="E9" s="209"/>
      <c r="F9" s="209"/>
      <c r="G9" s="209"/>
      <c r="H9"/>
      <c r="I9" s="209">
        <v>0.7746</v>
      </c>
      <c r="J9" s="209">
        <v>0.17</v>
      </c>
      <c r="K9" s="209"/>
      <c r="L9" s="209"/>
      <c r="M9"/>
      <c r="N9"/>
      <c r="O9"/>
      <c r="P9"/>
      <c r="Q9" s="209">
        <v>2.829</v>
      </c>
      <c r="R9" s="209">
        <v>0.4341</v>
      </c>
      <c r="S9"/>
      <c r="T9"/>
      <c r="U9"/>
      <c r="V9"/>
      <c r="W9"/>
    </row>
    <row r="10" spans="1:23" ht="12.75">
      <c r="A10" s="209">
        <v>0.1621</v>
      </c>
      <c r="B10" s="209">
        <v>0.1825</v>
      </c>
      <c r="C10" s="209">
        <f t="shared" si="0"/>
        <v>0.2015043762107286</v>
      </c>
      <c r="D10" s="211">
        <f t="shared" si="1"/>
        <v>-0.6957155175450406</v>
      </c>
      <c r="E10" s="209"/>
      <c r="F10" s="209"/>
      <c r="G10" s="209"/>
      <c r="H10"/>
      <c r="I10" s="209">
        <v>0.7798</v>
      </c>
      <c r="J10" s="209">
        <v>0.2118</v>
      </c>
      <c r="K10" s="209"/>
      <c r="L10" s="209"/>
      <c r="M10"/>
      <c r="N10"/>
      <c r="O10"/>
      <c r="P10"/>
      <c r="Q10" s="209">
        <v>2.856</v>
      </c>
      <c r="R10" s="209">
        <v>0.4945</v>
      </c>
      <c r="S10"/>
      <c r="T10"/>
      <c r="U10"/>
      <c r="V10"/>
      <c r="W10"/>
    </row>
    <row r="11" spans="1:23" ht="12.75">
      <c r="A11" s="209">
        <v>0.1722</v>
      </c>
      <c r="B11" s="209">
        <v>0.168</v>
      </c>
      <c r="C11" s="209">
        <f t="shared" si="0"/>
        <v>0.18392283816092855</v>
      </c>
      <c r="D11" s="211">
        <f t="shared" si="1"/>
        <v>-0.735364339976491</v>
      </c>
      <c r="E11" s="209"/>
      <c r="F11" s="209"/>
      <c r="G11" s="209"/>
      <c r="H11"/>
      <c r="I11" s="209">
        <v>0.7986</v>
      </c>
      <c r="J11" s="209">
        <v>0.1</v>
      </c>
      <c r="K11" s="209"/>
      <c r="L11" s="209"/>
      <c r="M11"/>
      <c r="N11"/>
      <c r="O11"/>
      <c r="P11"/>
      <c r="Q11" s="209">
        <v>3.194</v>
      </c>
      <c r="R11" s="209">
        <v>0.4099</v>
      </c>
      <c r="S11"/>
      <c r="T11"/>
      <c r="U11"/>
      <c r="V11"/>
      <c r="W11"/>
    </row>
    <row r="12" spans="1:23" ht="12.75">
      <c r="A12" s="209">
        <v>0.1742</v>
      </c>
      <c r="B12" s="209">
        <v>0.1121</v>
      </c>
      <c r="C12" s="209">
        <f t="shared" si="0"/>
        <v>0.11889615494385591</v>
      </c>
      <c r="D12" s="211">
        <f t="shared" si="1"/>
        <v>-0.9248321900715307</v>
      </c>
      <c r="E12" s="209"/>
      <c r="F12" s="209"/>
      <c r="G12" s="209"/>
      <c r="H12"/>
      <c r="I12" s="209">
        <v>0.8209</v>
      </c>
      <c r="J12" s="209">
        <v>0.1417</v>
      </c>
      <c r="K12" s="209"/>
      <c r="L12" s="209"/>
      <c r="M12"/>
      <c r="N12"/>
      <c r="O12"/>
      <c r="P12"/>
      <c r="Q12" s="209">
        <v>3.199</v>
      </c>
      <c r="R12" s="209">
        <v>0.5494</v>
      </c>
      <c r="S12"/>
      <c r="T12"/>
      <c r="U12"/>
      <c r="V12"/>
      <c r="W12"/>
    </row>
    <row r="13" spans="1:23" ht="12.75">
      <c r="A13" s="209">
        <v>0.1956</v>
      </c>
      <c r="B13" s="209">
        <v>0.181</v>
      </c>
      <c r="C13" s="209">
        <f t="shared" si="0"/>
        <v>0.19967119512906767</v>
      </c>
      <c r="D13" s="211">
        <f t="shared" si="1"/>
        <v>-0.6996845825944733</v>
      </c>
      <c r="E13" s="209"/>
      <c r="F13" s="209"/>
      <c r="G13" s="209"/>
      <c r="H13"/>
      <c r="I13" s="209">
        <v>0.8215</v>
      </c>
      <c r="J13" s="209">
        <v>0.2765</v>
      </c>
      <c r="K13" s="209"/>
      <c r="L13" s="209"/>
      <c r="M13"/>
      <c r="N13"/>
      <c r="O13"/>
      <c r="P13"/>
      <c r="Q13" s="209">
        <v>3.201</v>
      </c>
      <c r="R13" s="209">
        <v>0.2936</v>
      </c>
      <c r="S13"/>
      <c r="T13"/>
      <c r="U13"/>
      <c r="V13"/>
      <c r="W13"/>
    </row>
    <row r="14" spans="1:23" ht="12.75">
      <c r="A14" s="209">
        <v>0.2048</v>
      </c>
      <c r="B14" s="209">
        <v>0.2085</v>
      </c>
      <c r="C14" s="209">
        <f t="shared" si="0"/>
        <v>0.23382539966107024</v>
      </c>
      <c r="D14" s="211">
        <f t="shared" si="1"/>
        <v>-0.6311083146733365</v>
      </c>
      <c r="E14" s="209"/>
      <c r="F14" s="209"/>
      <c r="G14" s="209"/>
      <c r="H14"/>
      <c r="I14" s="209">
        <v>0.8649</v>
      </c>
      <c r="J14" s="209">
        <v>0.2064</v>
      </c>
      <c r="K14" s="209"/>
      <c r="L14" s="209"/>
      <c r="M14"/>
      <c r="N14"/>
      <c r="O14"/>
      <c r="P14"/>
      <c r="Q14" s="209">
        <v>3.251</v>
      </c>
      <c r="R14" s="209">
        <v>0.2609</v>
      </c>
      <c r="S14"/>
      <c r="T14"/>
      <c r="U14"/>
      <c r="V14"/>
      <c r="W14"/>
    </row>
    <row r="15" spans="1:23" ht="12.75">
      <c r="A15" s="209">
        <v>0.2057</v>
      </c>
      <c r="B15" s="209">
        <v>0.1062</v>
      </c>
      <c r="C15" s="209">
        <f t="shared" si="0"/>
        <v>0.11227324248278588</v>
      </c>
      <c r="D15" s="211">
        <f t="shared" si="1"/>
        <v>-0.9497237346264329</v>
      </c>
      <c r="E15" s="209"/>
      <c r="F15" s="209"/>
      <c r="G15" s="209"/>
      <c r="H15"/>
      <c r="I15" s="209">
        <v>0.8674</v>
      </c>
      <c r="J15" s="209">
        <v>0.2249</v>
      </c>
      <c r="K15" s="209"/>
      <c r="L15" s="209"/>
      <c r="M15"/>
      <c r="N15"/>
      <c r="O15"/>
      <c r="P15"/>
      <c r="Q15" s="209">
        <v>3.322</v>
      </c>
      <c r="R15" s="209">
        <v>0.3957</v>
      </c>
      <c r="S15"/>
      <c r="T15"/>
      <c r="U15"/>
      <c r="V15"/>
      <c r="W15"/>
    </row>
    <row r="16" spans="1:23" ht="12.75">
      <c r="A16" s="209">
        <v>0.2215</v>
      </c>
      <c r="B16" s="209">
        <v>0.04512</v>
      </c>
      <c r="C16" s="209">
        <f t="shared" si="0"/>
        <v>0.04616960084685045</v>
      </c>
      <c r="D16" s="211">
        <f t="shared" si="1"/>
        <v>-1.3356438800678672</v>
      </c>
      <c r="E16" s="209"/>
      <c r="F16" s="209"/>
      <c r="G16" s="209"/>
      <c r="H16"/>
      <c r="I16" s="209">
        <v>1.007</v>
      </c>
      <c r="J16" s="209">
        <v>0.2424</v>
      </c>
      <c r="K16" s="209"/>
      <c r="L16" s="209"/>
      <c r="M16"/>
      <c r="N16"/>
      <c r="O16"/>
      <c r="P16"/>
      <c r="Q16" s="209">
        <v>4.057</v>
      </c>
      <c r="R16" s="209">
        <v>0.4685</v>
      </c>
      <c r="S16"/>
      <c r="T16"/>
      <c r="U16"/>
      <c r="V16"/>
      <c r="W16"/>
    </row>
    <row r="17" spans="1:23" ht="12.75">
      <c r="A17" s="209">
        <v>0.2299</v>
      </c>
      <c r="B17" s="209">
        <v>0.1471</v>
      </c>
      <c r="C17" s="209">
        <f t="shared" si="0"/>
        <v>0.15911297165707328</v>
      </c>
      <c r="D17" s="211">
        <f t="shared" si="1"/>
        <v>-0.7982944131287422</v>
      </c>
      <c r="E17" s="209"/>
      <c r="F17" s="209"/>
      <c r="G17" s="209"/>
      <c r="H17"/>
      <c r="I17" s="209">
        <v>1.014</v>
      </c>
      <c r="J17" s="209">
        <v>0.2842</v>
      </c>
      <c r="K17" s="209"/>
      <c r="L17" s="209"/>
      <c r="M17"/>
      <c r="N17"/>
      <c r="O17"/>
      <c r="P17"/>
      <c r="Q17" s="209">
        <v>4.057</v>
      </c>
      <c r="R17" s="209">
        <v>0.208</v>
      </c>
      <c r="S17"/>
      <c r="T17"/>
      <c r="U17"/>
      <c r="V17"/>
      <c r="W17"/>
    </row>
    <row r="18" spans="1:23" ht="12.75">
      <c r="A18" s="209">
        <v>0.2326</v>
      </c>
      <c r="B18" s="209">
        <v>0.09124</v>
      </c>
      <c r="C18" s="209">
        <f t="shared" si="0"/>
        <v>0.09567424606840541</v>
      </c>
      <c r="D18" s="211">
        <f t="shared" si="1"/>
        <v>-1.0192049514146349</v>
      </c>
      <c r="E18" s="209"/>
      <c r="F18" s="209"/>
      <c r="G18" s="209"/>
      <c r="H18"/>
      <c r="I18" s="209">
        <v>1.021</v>
      </c>
      <c r="J18" s="209">
        <v>0.2004</v>
      </c>
      <c r="K18" s="209"/>
      <c r="L18" s="209"/>
      <c r="M18"/>
      <c r="N18"/>
      <c r="O18"/>
      <c r="P18"/>
      <c r="Q18" s="209">
        <v>4.087</v>
      </c>
      <c r="R18" s="209">
        <v>0.5149</v>
      </c>
      <c r="S18"/>
      <c r="T18"/>
      <c r="U18"/>
      <c r="V18"/>
      <c r="W18"/>
    </row>
    <row r="19" spans="1:23" ht="12.75">
      <c r="A19" s="209">
        <v>0.2462</v>
      </c>
      <c r="B19" s="209">
        <v>0.1838</v>
      </c>
      <c r="C19" s="209">
        <f t="shared" si="0"/>
        <v>0.2030958560104317</v>
      </c>
      <c r="D19" s="211">
        <f t="shared" si="1"/>
        <v>-0.6922989378958491</v>
      </c>
      <c r="E19" s="209"/>
      <c r="F19" s="209"/>
      <c r="G19" s="209"/>
      <c r="H19"/>
      <c r="I19" s="209">
        <v>1.107</v>
      </c>
      <c r="J19" s="209">
        <v>0.3114</v>
      </c>
      <c r="K19" s="209"/>
      <c r="L19" s="209"/>
      <c r="M19"/>
      <c r="N19"/>
      <c r="O19"/>
      <c r="P19"/>
      <c r="Q19" s="209">
        <v>4.139</v>
      </c>
      <c r="R19" s="209">
        <v>0.3334</v>
      </c>
      <c r="S19"/>
      <c r="T19"/>
      <c r="U19"/>
      <c r="V19"/>
      <c r="W19"/>
    </row>
    <row r="20" spans="1:23" ht="12.75">
      <c r="A20" s="209">
        <v>0.2504</v>
      </c>
      <c r="B20" s="209">
        <v>0.1604</v>
      </c>
      <c r="C20" s="209">
        <f t="shared" si="0"/>
        <v>0.17482969103565912</v>
      </c>
      <c r="D20" s="211">
        <f t="shared" si="1"/>
        <v>-0.7573848099284577</v>
      </c>
      <c r="E20" s="209"/>
      <c r="F20" s="209"/>
      <c r="G20" s="209"/>
      <c r="H20"/>
      <c r="I20"/>
      <c r="J20"/>
      <c r="K20"/>
      <c r="L20"/>
      <c r="M20"/>
      <c r="N20"/>
      <c r="O20"/>
      <c r="P20"/>
      <c r="Q20" s="209">
        <v>4.185</v>
      </c>
      <c r="R20" s="209">
        <v>0.2729</v>
      </c>
      <c r="S20"/>
      <c r="T20"/>
      <c r="U20"/>
      <c r="V20"/>
      <c r="W20"/>
    </row>
    <row r="21" spans="1:23" ht="12.75">
      <c r="A21" s="209"/>
      <c r="B21" s="209"/>
      <c r="C21" s="209"/>
      <c r="D21" s="212">
        <f>STDEV(D8:D20)</f>
        <v>0.19287093620185636</v>
      </c>
      <c r="E21" s="209"/>
      <c r="F21" s="209"/>
      <c r="G21" s="209"/>
      <c r="H21"/>
      <c r="I21"/>
      <c r="J21"/>
      <c r="K21"/>
      <c r="L21"/>
      <c r="M21"/>
      <c r="N21"/>
      <c r="O21"/>
      <c r="P21"/>
      <c r="Q21" s="209">
        <v>4.214</v>
      </c>
      <c r="R21" s="209">
        <v>0.3147</v>
      </c>
      <c r="S21"/>
      <c r="T21"/>
      <c r="U21"/>
      <c r="V21"/>
      <c r="W21"/>
    </row>
    <row r="22" spans="1:23" ht="12.75">
      <c r="A22" t="s">
        <v>598</v>
      </c>
      <c r="B22" t="s">
        <v>598</v>
      </c>
      <c r="C22"/>
      <c r="D22"/>
      <c r="E22"/>
      <c r="F22"/>
      <c r="G22"/>
      <c r="H22"/>
      <c r="I22" t="s">
        <v>598</v>
      </c>
      <c r="J22" t="s">
        <v>598</v>
      </c>
      <c r="K22"/>
      <c r="L22"/>
      <c r="M22"/>
      <c r="N22"/>
      <c r="O22"/>
      <c r="P22"/>
      <c r="Q22" s="209">
        <v>4.245</v>
      </c>
      <c r="R22" s="209">
        <v>0.4914</v>
      </c>
      <c r="S22"/>
      <c r="T22"/>
      <c r="U22"/>
      <c r="V22"/>
      <c r="W22"/>
    </row>
    <row r="23" spans="1:23" ht="12.75">
      <c r="A23" s="210">
        <f>AVERAGE(A8:A20)</f>
        <v>0.19805384615384616</v>
      </c>
      <c r="B23" s="210">
        <f>AVERAGE(B8:B20)</f>
        <v>0.14775076923076924</v>
      </c>
      <c r="C23" s="210"/>
      <c r="D23" s="210"/>
      <c r="E23" s="210"/>
      <c r="F23" s="210"/>
      <c r="G23" s="210"/>
      <c r="H23"/>
      <c r="I23" s="210">
        <f>AVERAGE(I8:I20)</f>
        <v>0.8870333333333331</v>
      </c>
      <c r="J23" s="210">
        <f>AVERAGE(J8:J20)</f>
        <v>0.20699999999999996</v>
      </c>
      <c r="K23" s="210"/>
      <c r="L23" s="210"/>
      <c r="M23"/>
      <c r="N23"/>
      <c r="O23"/>
      <c r="P23"/>
      <c r="Q23" s="209">
        <v>4.27</v>
      </c>
      <c r="R23" s="209">
        <v>0.3983</v>
      </c>
      <c r="S23"/>
      <c r="T23"/>
      <c r="U23"/>
      <c r="V23"/>
      <c r="W23"/>
    </row>
    <row r="24" spans="1:23" ht="12.75">
      <c r="A24" t="s">
        <v>170</v>
      </c>
      <c r="B24" t="s">
        <v>170</v>
      </c>
      <c r="C24"/>
      <c r="D24"/>
      <c r="E24"/>
      <c r="F24"/>
      <c r="G24"/>
      <c r="H24"/>
      <c r="I24" t="s">
        <v>170</v>
      </c>
      <c r="J24" t="s">
        <v>170</v>
      </c>
      <c r="K24"/>
      <c r="L24"/>
      <c r="M24"/>
      <c r="N24"/>
      <c r="O24"/>
      <c r="P24"/>
      <c r="Q24" s="209">
        <v>4.331</v>
      </c>
      <c r="R24" s="209">
        <v>0.3563</v>
      </c>
      <c r="S24"/>
      <c r="T24"/>
      <c r="U24"/>
      <c r="V24"/>
      <c r="W24"/>
    </row>
    <row r="25" spans="1:23" ht="12.75">
      <c r="A25" s="3">
        <f>STDEV(A8:A20)</f>
        <v>0.03791953356307317</v>
      </c>
      <c r="B25" s="3">
        <f>STDEV(B8:B20)</f>
        <v>0.04676473430223861</v>
      </c>
      <c r="C25" s="3"/>
      <c r="D25" s="3"/>
      <c r="E25" s="3"/>
      <c r="F25" s="3"/>
      <c r="G25" s="3"/>
      <c r="H25"/>
      <c r="I25" s="3">
        <f>STDEV(I8:I20)</f>
        <v>0.11777855440948612</v>
      </c>
      <c r="J25" s="3">
        <f>STDEV(J8:J20)</f>
        <v>0.06674603154699722</v>
      </c>
      <c r="K25" s="3"/>
      <c r="L25" s="3"/>
      <c r="M25"/>
      <c r="N25"/>
      <c r="O25"/>
      <c r="P25"/>
      <c r="Q25" s="209">
        <v>4.393</v>
      </c>
      <c r="R25" s="209">
        <v>0.1841</v>
      </c>
      <c r="S25"/>
      <c r="T25"/>
      <c r="U25"/>
      <c r="V25"/>
      <c r="W25"/>
    </row>
    <row r="26" spans="1:23" ht="12.75">
      <c r="A26" t="s">
        <v>139</v>
      </c>
      <c r="B26" t="s">
        <v>139</v>
      </c>
      <c r="C26"/>
      <c r="D26"/>
      <c r="E26"/>
      <c r="F26"/>
      <c r="G26"/>
      <c r="H26"/>
      <c r="I26" t="s">
        <v>139</v>
      </c>
      <c r="J26" t="s">
        <v>139</v>
      </c>
      <c r="K26"/>
      <c r="L26"/>
      <c r="M26"/>
      <c r="N26"/>
      <c r="O26"/>
      <c r="P26"/>
      <c r="Q26" s="209">
        <v>4.466</v>
      </c>
      <c r="R26" s="209">
        <v>0.1561</v>
      </c>
      <c r="S26"/>
      <c r="T26"/>
      <c r="U26"/>
      <c r="V26"/>
      <c r="W26"/>
    </row>
    <row r="27" spans="1:23" ht="12.75">
      <c r="A27" s="210">
        <f>MEDIAN(A8:A20)</f>
        <v>0.2048</v>
      </c>
      <c r="B27" s="210">
        <f>MEDIAN(B8:B20)</f>
        <v>0.1604</v>
      </c>
      <c r="C27" s="210"/>
      <c r="D27" s="210"/>
      <c r="E27" s="210"/>
      <c r="F27" s="210"/>
      <c r="G27" s="210"/>
      <c r="H27"/>
      <c r="I27" s="210">
        <f>MEDIAN(I8:I20)</f>
        <v>0.8432</v>
      </c>
      <c r="J27" s="210">
        <f>MEDIAN(J8:J20)</f>
        <v>0.2091</v>
      </c>
      <c r="K27" s="210"/>
      <c r="L27" s="210"/>
      <c r="M27"/>
      <c r="N27"/>
      <c r="O27"/>
      <c r="P27"/>
      <c r="Q27" s="209">
        <v>4.469</v>
      </c>
      <c r="R27" s="209">
        <v>0.5514</v>
      </c>
      <c r="S27"/>
      <c r="T27"/>
      <c r="U27"/>
      <c r="V27"/>
      <c r="W27"/>
    </row>
    <row r="28" spans="1:23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209">
        <v>4.96</v>
      </c>
      <c r="R28" s="209">
        <v>0.4204</v>
      </c>
      <c r="S28"/>
      <c r="T28"/>
      <c r="U28"/>
      <c r="V28"/>
      <c r="W28"/>
    </row>
    <row r="29" spans="1:23" ht="12.75">
      <c r="A29" t="s">
        <v>564</v>
      </c>
      <c r="B29"/>
      <c r="C29"/>
      <c r="D29"/>
      <c r="E29"/>
      <c r="F29"/>
      <c r="G29"/>
      <c r="H29"/>
      <c r="I29" t="s">
        <v>564</v>
      </c>
      <c r="J29"/>
      <c r="K29"/>
      <c r="L29"/>
      <c r="M29"/>
      <c r="N29"/>
      <c r="O29"/>
      <c r="P29"/>
      <c r="Q29" s="209">
        <v>5.068</v>
      </c>
      <c r="R29" s="209">
        <v>0.2946</v>
      </c>
      <c r="S29"/>
      <c r="T29"/>
      <c r="U29"/>
      <c r="V29"/>
      <c r="W29"/>
    </row>
    <row r="30" spans="1:23" ht="12.75">
      <c r="A30" s="208">
        <f>A25/A23</f>
        <v>0.19146072797605593</v>
      </c>
      <c r="B30"/>
      <c r="C30"/>
      <c r="D30"/>
      <c r="E30"/>
      <c r="F30"/>
      <c r="G30"/>
      <c r="H30"/>
      <c r="I30" s="208">
        <f>I25/I23</f>
        <v>0.1327780478856332</v>
      </c>
      <c r="J30"/>
      <c r="K30"/>
      <c r="L30"/>
      <c r="M30"/>
      <c r="N30"/>
      <c r="O30"/>
      <c r="P30"/>
      <c r="Q30" s="209">
        <v>5.118</v>
      </c>
      <c r="R30" s="209">
        <v>0.355</v>
      </c>
      <c r="S30"/>
      <c r="T30"/>
      <c r="U30"/>
      <c r="V30"/>
      <c r="W30"/>
    </row>
    <row r="31" spans="1:23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209">
        <v>5.148</v>
      </c>
      <c r="R31" s="209">
        <v>0.2619</v>
      </c>
      <c r="S31"/>
      <c r="T31"/>
      <c r="U31"/>
      <c r="V31"/>
      <c r="W31"/>
    </row>
    <row r="32" spans="1:23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209">
        <v>5.198</v>
      </c>
      <c r="R32" s="209">
        <v>0.06188</v>
      </c>
      <c r="S32"/>
      <c r="T32"/>
      <c r="U32"/>
      <c r="V32"/>
      <c r="W32"/>
    </row>
    <row r="33" spans="1:23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209">
        <v>5.296</v>
      </c>
      <c r="R33" s="209">
        <v>0.3082</v>
      </c>
      <c r="S33"/>
      <c r="T33"/>
      <c r="U33"/>
      <c r="V33"/>
      <c r="W33"/>
    </row>
    <row r="34" spans="1:23" ht="12.75">
      <c r="A34" s="209"/>
      <c r="B34" s="209"/>
      <c r="C34" s="209"/>
      <c r="D34" s="209"/>
      <c r="E34" s="209"/>
      <c r="F34" s="209"/>
      <c r="G34" s="209"/>
      <c r="H34"/>
      <c r="I34"/>
      <c r="J34"/>
      <c r="K34"/>
      <c r="L34"/>
      <c r="M34"/>
      <c r="N34"/>
      <c r="O34"/>
      <c r="P34"/>
      <c r="Q34" s="209">
        <v>5.344</v>
      </c>
      <c r="R34" s="209">
        <v>0.2337</v>
      </c>
      <c r="S34"/>
      <c r="T34"/>
      <c r="U34"/>
      <c r="V34"/>
      <c r="W34"/>
    </row>
    <row r="35" spans="1:23" ht="12.75">
      <c r="A35" s="209"/>
      <c r="B35" s="209"/>
      <c r="C35" s="209"/>
      <c r="D35" s="209"/>
      <c r="E35" s="209"/>
      <c r="F35" s="209"/>
      <c r="G35" s="209"/>
      <c r="H35"/>
      <c r="I35"/>
      <c r="J35"/>
      <c r="K35"/>
      <c r="L35"/>
      <c r="M35"/>
      <c r="N35"/>
      <c r="O35"/>
      <c r="P35"/>
      <c r="Q35" s="209">
        <v>6.442</v>
      </c>
      <c r="R35" s="209">
        <v>0.09738</v>
      </c>
      <c r="S35"/>
      <c r="T35"/>
      <c r="U35"/>
      <c r="V35"/>
      <c r="W35"/>
    </row>
    <row r="36" spans="1:23" ht="12.75">
      <c r="A36" s="209"/>
      <c r="B36" s="209"/>
      <c r="C36" s="209"/>
      <c r="D36" s="209"/>
      <c r="E36" s="209"/>
      <c r="F36" s="209"/>
      <c r="G36" s="209"/>
      <c r="H36"/>
      <c r="I36"/>
      <c r="J36"/>
      <c r="K36"/>
      <c r="L36"/>
      <c r="M36"/>
      <c r="N36"/>
      <c r="O36"/>
      <c r="P36"/>
      <c r="Q36" s="209">
        <v>6.687</v>
      </c>
      <c r="R36" s="209">
        <v>0.06918</v>
      </c>
      <c r="S36"/>
      <c r="T36"/>
      <c r="U36"/>
      <c r="V36"/>
      <c r="W36"/>
    </row>
    <row r="37" spans="1:23" ht="12.75">
      <c r="A37" s="209"/>
      <c r="B37" s="209"/>
      <c r="C37" s="209"/>
      <c r="D37" s="209"/>
      <c r="E37" s="209"/>
      <c r="F37" s="209"/>
      <c r="G37" s="209"/>
      <c r="H37"/>
      <c r="I37"/>
      <c r="J37"/>
      <c r="K37"/>
      <c r="L37"/>
      <c r="M37"/>
      <c r="N37"/>
      <c r="O37"/>
      <c r="P37"/>
      <c r="Q37" s="209">
        <v>6.737</v>
      </c>
      <c r="R37" s="209">
        <v>0.1156</v>
      </c>
      <c r="S37"/>
      <c r="T37"/>
      <c r="U37"/>
      <c r="V37"/>
      <c r="W37"/>
    </row>
    <row r="38" spans="1:23" ht="12.75">
      <c r="A38" s="209"/>
      <c r="B38" s="209"/>
      <c r="C38" s="209"/>
      <c r="D38" s="209"/>
      <c r="E38" s="209"/>
      <c r="F38" s="209"/>
      <c r="G38" s="209"/>
      <c r="H38"/>
      <c r="I38"/>
      <c r="J38"/>
      <c r="K38"/>
      <c r="L38"/>
      <c r="M38"/>
      <c r="N38"/>
      <c r="O38"/>
      <c r="P38"/>
      <c r="Q38" s="209">
        <v>7.416</v>
      </c>
      <c r="R38" s="209">
        <v>0.1939</v>
      </c>
      <c r="S38"/>
      <c r="T38"/>
      <c r="U38"/>
      <c r="V38"/>
      <c r="W38"/>
    </row>
    <row r="39" spans="1:23" ht="12.75">
      <c r="A39" s="209"/>
      <c r="B39" s="209"/>
      <c r="C39" s="209"/>
      <c r="D39" s="209"/>
      <c r="E39" s="209"/>
      <c r="F39" s="209"/>
      <c r="G39" s="209"/>
      <c r="H39"/>
      <c r="I39"/>
      <c r="J39"/>
      <c r="K39"/>
      <c r="L39"/>
      <c r="M39"/>
      <c r="N39"/>
      <c r="O39"/>
      <c r="P39"/>
      <c r="Q39" s="209">
        <v>7.533</v>
      </c>
      <c r="R39" s="209">
        <v>0.03102</v>
      </c>
      <c r="S39"/>
      <c r="T39"/>
      <c r="U39"/>
      <c r="V39"/>
      <c r="W39"/>
    </row>
    <row r="40" spans="1:23" ht="12.75">
      <c r="A40" s="209"/>
      <c r="B40" s="209"/>
      <c r="C40" s="209"/>
      <c r="D40" s="209"/>
      <c r="E40" s="209"/>
      <c r="F40" s="209"/>
      <c r="G40" s="20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 s="209"/>
      <c r="B41" s="209"/>
      <c r="C41" s="209"/>
      <c r="D41" s="209"/>
      <c r="E41" s="209"/>
      <c r="F41" s="209"/>
      <c r="G41" s="209"/>
      <c r="H41"/>
      <c r="I41"/>
      <c r="J41"/>
      <c r="K41"/>
      <c r="L41"/>
      <c r="M41"/>
      <c r="N41"/>
      <c r="O41"/>
      <c r="P41"/>
      <c r="Q41" t="s">
        <v>598</v>
      </c>
      <c r="R41" t="s">
        <v>598</v>
      </c>
      <c r="S41"/>
      <c r="T41"/>
      <c r="U41"/>
      <c r="V41"/>
      <c r="W41"/>
    </row>
    <row r="42" spans="1:23" ht="12.75">
      <c r="A42" s="209"/>
      <c r="B42" s="209"/>
      <c r="C42" s="209"/>
      <c r="D42" s="209"/>
      <c r="E42" s="209"/>
      <c r="F42" s="209"/>
      <c r="G42" s="209"/>
      <c r="H42"/>
      <c r="I42"/>
      <c r="J42"/>
      <c r="K42"/>
      <c r="L42"/>
      <c r="M42"/>
      <c r="N42"/>
      <c r="O42"/>
      <c r="P42"/>
      <c r="Q42" s="210">
        <f>AVERAGE(Q8:Q39)</f>
        <v>4.565218749999999</v>
      </c>
      <c r="R42" s="210">
        <f>AVERAGE(R8:R39)</f>
        <v>0.31392062500000006</v>
      </c>
      <c r="S42"/>
      <c r="T42"/>
      <c r="U42"/>
      <c r="V42"/>
      <c r="W42"/>
    </row>
    <row r="43" spans="1:23" ht="12.75">
      <c r="A43" s="209"/>
      <c r="B43" s="209"/>
      <c r="C43" s="209"/>
      <c r="D43" s="209"/>
      <c r="E43" s="209"/>
      <c r="F43" s="209"/>
      <c r="G43" s="209"/>
      <c r="H43"/>
      <c r="I43"/>
      <c r="J43"/>
      <c r="K43"/>
      <c r="L43"/>
      <c r="M43"/>
      <c r="N43"/>
      <c r="O43"/>
      <c r="P43"/>
      <c r="Q43" t="s">
        <v>170</v>
      </c>
      <c r="R43" t="s">
        <v>170</v>
      </c>
      <c r="S43"/>
      <c r="T43"/>
      <c r="U43"/>
      <c r="V43"/>
      <c r="W43"/>
    </row>
    <row r="44" spans="1:23" ht="12.75">
      <c r="A44" s="209"/>
      <c r="B44" s="209"/>
      <c r="C44" s="209"/>
      <c r="D44" s="209"/>
      <c r="E44" s="209"/>
      <c r="F44" s="209"/>
      <c r="G44" s="209"/>
      <c r="H44"/>
      <c r="I44"/>
      <c r="J44"/>
      <c r="K44"/>
      <c r="L44"/>
      <c r="M44"/>
      <c r="N44"/>
      <c r="O44"/>
      <c r="P44"/>
      <c r="Q44" s="3">
        <f>STDEV(Q8:Q39)</f>
        <v>1.3121286506155334</v>
      </c>
      <c r="R44" s="3">
        <f>STDEV(R8:R39)</f>
        <v>0.1507715800621437</v>
      </c>
      <c r="S44"/>
      <c r="T44"/>
      <c r="U44"/>
      <c r="V44"/>
      <c r="W44"/>
    </row>
    <row r="45" spans="1:23" ht="12.75">
      <c r="A45" s="209"/>
      <c r="B45" s="209"/>
      <c r="C45" s="209"/>
      <c r="D45" s="209"/>
      <c r="E45" s="209"/>
      <c r="F45" s="209"/>
      <c r="G45" s="209"/>
      <c r="H45"/>
      <c r="I45"/>
      <c r="J45"/>
      <c r="K45"/>
      <c r="L45"/>
      <c r="M45"/>
      <c r="N45"/>
      <c r="O45"/>
      <c r="P45"/>
      <c r="Q45" t="s">
        <v>139</v>
      </c>
      <c r="R45" t="s">
        <v>139</v>
      </c>
      <c r="S45"/>
      <c r="T45"/>
      <c r="U45"/>
      <c r="V45"/>
      <c r="W45"/>
    </row>
    <row r="46" spans="1:23" ht="12.75">
      <c r="A46" s="209"/>
      <c r="B46" s="209"/>
      <c r="C46" s="209"/>
      <c r="D46" s="209"/>
      <c r="E46" s="209"/>
      <c r="F46" s="209"/>
      <c r="G46" s="209"/>
      <c r="H46"/>
      <c r="I46"/>
      <c r="J46"/>
      <c r="K46"/>
      <c r="L46"/>
      <c r="M46"/>
      <c r="N46"/>
      <c r="O46"/>
      <c r="P46"/>
      <c r="Q46" s="210">
        <f>MEDIAN(Q8:Q39)</f>
        <v>4.3004999999999995</v>
      </c>
      <c r="R46" s="210">
        <f>MEDIAN(R8:R39)</f>
        <v>0.31145</v>
      </c>
      <c r="S46"/>
      <c r="T46"/>
      <c r="U46"/>
      <c r="V46"/>
      <c r="W46"/>
    </row>
    <row r="47" spans="1:23" ht="12.75">
      <c r="A47" s="209"/>
      <c r="B47" s="209"/>
      <c r="C47" s="209"/>
      <c r="D47" s="209"/>
      <c r="E47" s="209"/>
      <c r="F47" s="209"/>
      <c r="G47" s="20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s="209"/>
      <c r="B48" s="209"/>
      <c r="C48" s="209"/>
      <c r="D48" s="209"/>
      <c r="E48" s="209"/>
      <c r="F48" s="209"/>
      <c r="G48" s="209"/>
      <c r="H48"/>
      <c r="I48"/>
      <c r="J48"/>
      <c r="K48"/>
      <c r="L48"/>
      <c r="M48"/>
      <c r="N48"/>
      <c r="O48"/>
      <c r="P48"/>
      <c r="Q48" t="s">
        <v>564</v>
      </c>
      <c r="R48"/>
      <c r="S48"/>
      <c r="T48"/>
      <c r="U48"/>
      <c r="V48"/>
      <c r="W48"/>
    </row>
    <row r="49" spans="1:23" ht="12.75">
      <c r="A49" s="209"/>
      <c r="B49" s="209"/>
      <c r="C49" s="209"/>
      <c r="D49" s="209"/>
      <c r="E49" s="209"/>
      <c r="F49" s="209"/>
      <c r="G49" s="209"/>
      <c r="H49"/>
      <c r="I49"/>
      <c r="J49"/>
      <c r="K49"/>
      <c r="L49"/>
      <c r="M49"/>
      <c r="N49"/>
      <c r="O49"/>
      <c r="P49"/>
      <c r="Q49" s="208">
        <f>Q44/Q42</f>
        <v>0.28741857126025644</v>
      </c>
      <c r="R49"/>
      <c r="S49"/>
      <c r="T49"/>
      <c r="U49"/>
      <c r="V49"/>
      <c r="W49"/>
    </row>
    <row r="50" spans="1:23" ht="12.75">
      <c r="A50" s="209"/>
      <c r="B50" s="209"/>
      <c r="C50" s="209"/>
      <c r="D50" s="209"/>
      <c r="E50" s="209"/>
      <c r="F50" s="209"/>
      <c r="G50" s="20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2" spans="1:18" ht="12.75">
      <c r="A52" t="s">
        <v>75</v>
      </c>
      <c r="B52" t="s">
        <v>77</v>
      </c>
      <c r="C52"/>
      <c r="D52"/>
      <c r="E52"/>
      <c r="F52"/>
      <c r="G52"/>
      <c r="H52"/>
      <c r="I52" t="s">
        <v>75</v>
      </c>
      <c r="J52" t="s">
        <v>77</v>
      </c>
      <c r="K52"/>
      <c r="L52"/>
      <c r="M52"/>
      <c r="Q52" t="s">
        <v>75</v>
      </c>
      <c r="R52" t="s">
        <v>77</v>
      </c>
    </row>
    <row r="53" spans="1:18" ht="12.75">
      <c r="A53" s="209">
        <v>0.1254</v>
      </c>
      <c r="B53" s="209">
        <v>0.0287</v>
      </c>
      <c r="C53" s="209">
        <f>-LN(1-B53)</f>
        <v>0.029119898573852124</v>
      </c>
      <c r="D53" s="211">
        <f>LOG(C53)</f>
        <v>-1.5358101420270311</v>
      </c>
      <c r="E53" s="209"/>
      <c r="F53" s="209"/>
      <c r="G53" s="209"/>
      <c r="H53"/>
      <c r="I53" s="209">
        <v>0.7336</v>
      </c>
      <c r="J53" s="209">
        <v>0.03229</v>
      </c>
      <c r="K53" s="209">
        <f>-LN(1-J53)</f>
        <v>0.0328228233675029</v>
      </c>
      <c r="L53" s="211">
        <f>LOG(K53)</f>
        <v>-1.4838240643496943</v>
      </c>
      <c r="M53"/>
      <c r="Q53" s="209">
        <v>1.794</v>
      </c>
      <c r="R53" s="209">
        <v>0.1604</v>
      </c>
    </row>
    <row r="54" spans="1:18" ht="12.75">
      <c r="A54" s="209">
        <v>0.1321</v>
      </c>
      <c r="B54" s="209">
        <v>0.05806</v>
      </c>
      <c r="C54" s="209">
        <f aca="true" t="shared" si="2" ref="C54:C64">-LN(1-B54)</f>
        <v>0.05981370070185591</v>
      </c>
      <c r="D54" s="211">
        <f aca="true" t="shared" si="3" ref="D54:D64">LOG(C54)</f>
        <v>-1.2231993267523265</v>
      </c>
      <c r="E54" s="209"/>
      <c r="F54" s="209"/>
      <c r="G54" s="209"/>
      <c r="H54"/>
      <c r="I54" s="209">
        <v>0.7681</v>
      </c>
      <c r="J54" s="209">
        <v>0.1316</v>
      </c>
      <c r="K54" s="209">
        <f aca="true" t="shared" si="4" ref="K54:K63">-LN(1-J54)</f>
        <v>0.14110284097800022</v>
      </c>
      <c r="L54" s="211">
        <f aca="true" t="shared" si="5" ref="L54:L63">LOG(K54)</f>
        <v>-0.8504642420312816</v>
      </c>
      <c r="M54"/>
      <c r="Q54" s="209">
        <v>1.813</v>
      </c>
      <c r="R54" s="209">
        <v>0.1361</v>
      </c>
    </row>
    <row r="55" spans="1:18" ht="12.75">
      <c r="A55" s="209">
        <v>0.1475</v>
      </c>
      <c r="B55" s="209">
        <v>0.03342</v>
      </c>
      <c r="C55" s="209">
        <f t="shared" si="2"/>
        <v>0.033991210867360344</v>
      </c>
      <c r="D55" s="211">
        <f t="shared" si="3"/>
        <v>-1.4686333642887783</v>
      </c>
      <c r="E55" s="209"/>
      <c r="F55" s="209"/>
      <c r="G55" s="209"/>
      <c r="H55"/>
      <c r="I55" s="209">
        <v>0.7733</v>
      </c>
      <c r="J55" s="209">
        <v>0.06702</v>
      </c>
      <c r="K55" s="209">
        <f t="shared" si="4"/>
        <v>0.06937151459177641</v>
      </c>
      <c r="L55" s="211">
        <f t="shared" si="5"/>
        <v>-1.1588188234236316</v>
      </c>
      <c r="M55"/>
      <c r="Q55" s="209">
        <v>2.411</v>
      </c>
      <c r="R55" s="209">
        <v>0.2721</v>
      </c>
    </row>
    <row r="56" spans="1:18" ht="12.75">
      <c r="A56" s="209">
        <v>0.1509</v>
      </c>
      <c r="B56" s="209">
        <v>0.01182</v>
      </c>
      <c r="C56" s="209">
        <f t="shared" si="2"/>
        <v>0.011890411593348135</v>
      </c>
      <c r="D56" s="211">
        <f t="shared" si="3"/>
        <v>-1.924803111771045</v>
      </c>
      <c r="E56" s="209"/>
      <c r="F56" s="209"/>
      <c r="G56" s="209"/>
      <c r="H56"/>
      <c r="I56" s="209">
        <v>0.7742</v>
      </c>
      <c r="J56" s="209">
        <v>0.08046</v>
      </c>
      <c r="K56" s="209">
        <f t="shared" si="4"/>
        <v>0.08388173398073333</v>
      </c>
      <c r="L56" s="211">
        <f t="shared" si="5"/>
        <v>-1.0763326004947167</v>
      </c>
      <c r="M56"/>
      <c r="Q56" s="209">
        <v>3.255</v>
      </c>
      <c r="R56" s="209">
        <v>0.2897</v>
      </c>
    </row>
    <row r="57" spans="1:18" ht="12.75">
      <c r="A57" s="209">
        <v>0.1533</v>
      </c>
      <c r="B57" s="209">
        <v>0.04939</v>
      </c>
      <c r="C57" s="209">
        <f t="shared" si="2"/>
        <v>0.050651395185773156</v>
      </c>
      <c r="D57" s="211">
        <f t="shared" si="3"/>
        <v>-1.2954085875566637</v>
      </c>
      <c r="E57" s="209"/>
      <c r="F57" s="209"/>
      <c r="G57" s="209"/>
      <c r="H57"/>
      <c r="I57" s="209">
        <v>0.7755</v>
      </c>
      <c r="J57" s="209">
        <v>0.09927</v>
      </c>
      <c r="K57" s="209">
        <f t="shared" si="4"/>
        <v>0.10454973331956358</v>
      </c>
      <c r="L57" s="211">
        <f t="shared" si="5"/>
        <v>-0.9806770706223944</v>
      </c>
      <c r="M57"/>
      <c r="Q57" s="209">
        <v>3.299</v>
      </c>
      <c r="R57" s="209">
        <v>0.3004</v>
      </c>
    </row>
    <row r="58" spans="1:18" ht="12.75">
      <c r="A58" s="209">
        <v>0.1596</v>
      </c>
      <c r="B58" s="209">
        <v>0.08149</v>
      </c>
      <c r="C58" s="209">
        <f t="shared" si="2"/>
        <v>0.08500248706994663</v>
      </c>
      <c r="D58" s="211">
        <f t="shared" si="3"/>
        <v>-1.070568367168622</v>
      </c>
      <c r="E58" s="209"/>
      <c r="F58" s="209"/>
      <c r="G58" s="209"/>
      <c r="H58"/>
      <c r="I58" s="209">
        <v>0.8114</v>
      </c>
      <c r="J58" s="209">
        <v>0.04801</v>
      </c>
      <c r="K58" s="209">
        <f t="shared" si="4"/>
        <v>0.04920074844762193</v>
      </c>
      <c r="L58" s="211">
        <f t="shared" si="5"/>
        <v>-1.3080282906432117</v>
      </c>
      <c r="M58"/>
      <c r="Q58" s="209">
        <v>4.224</v>
      </c>
      <c r="R58" s="209">
        <v>0.2833</v>
      </c>
    </row>
    <row r="59" spans="1:18" ht="12.75">
      <c r="A59" s="209">
        <v>0.1628</v>
      </c>
      <c r="B59" s="209">
        <v>0.02496</v>
      </c>
      <c r="C59" s="209">
        <f t="shared" si="2"/>
        <v>0.025276783184792814</v>
      </c>
      <c r="D59" s="211">
        <f t="shared" si="3"/>
        <v>-1.597278196765702</v>
      </c>
      <c r="E59" s="209"/>
      <c r="F59" s="209"/>
      <c r="G59" s="209"/>
      <c r="H59"/>
      <c r="I59" s="209">
        <v>0.8252</v>
      </c>
      <c r="J59" s="209">
        <v>0.09902</v>
      </c>
      <c r="K59" s="209">
        <f t="shared" si="4"/>
        <v>0.10427221917843715</v>
      </c>
      <c r="L59" s="211">
        <f t="shared" si="5"/>
        <v>-0.9818313834678773</v>
      </c>
      <c r="M59"/>
      <c r="Q59" s="209">
        <v>4.241</v>
      </c>
      <c r="R59" s="209">
        <v>0.3289</v>
      </c>
    </row>
    <row r="60" spans="1:18" ht="12.75">
      <c r="A60" s="209">
        <v>0.1865</v>
      </c>
      <c r="B60" s="209">
        <v>0.01634</v>
      </c>
      <c r="C60" s="209">
        <f t="shared" si="2"/>
        <v>0.016474970093879344</v>
      </c>
      <c r="D60" s="211">
        <f t="shared" si="3"/>
        <v>-1.7831753650844813</v>
      </c>
      <c r="E60" s="209"/>
      <c r="F60" s="209"/>
      <c r="G60" s="209"/>
      <c r="H60"/>
      <c r="I60" s="209">
        <v>0.9776</v>
      </c>
      <c r="J60" s="209">
        <v>0.04456</v>
      </c>
      <c r="K60" s="209">
        <f t="shared" si="4"/>
        <v>0.04558331162196565</v>
      </c>
      <c r="L60" s="211">
        <f t="shared" si="5"/>
        <v>-1.3411941265689529</v>
      </c>
      <c r="M60"/>
      <c r="Q60" s="209">
        <v>4.139</v>
      </c>
      <c r="R60" s="209">
        <v>0.3344</v>
      </c>
    </row>
    <row r="61" spans="1:18" ht="12.75">
      <c r="A61" s="209">
        <v>0.1879</v>
      </c>
      <c r="B61" s="209">
        <v>0.105</v>
      </c>
      <c r="C61" s="209">
        <f t="shared" si="2"/>
        <v>0.11093156070728165</v>
      </c>
      <c r="D61" s="211">
        <f t="shared" si="3"/>
        <v>-0.9549448768353226</v>
      </c>
      <c r="E61" s="209"/>
      <c r="F61" s="209"/>
      <c r="G61" s="209"/>
      <c r="H61"/>
      <c r="I61" s="209">
        <v>0.9835</v>
      </c>
      <c r="J61" s="209">
        <v>0.1144</v>
      </c>
      <c r="K61" s="209">
        <f t="shared" si="4"/>
        <v>0.12148989758770999</v>
      </c>
      <c r="L61" s="211">
        <f t="shared" si="5"/>
        <v>-0.9154598340354055</v>
      </c>
      <c r="M61"/>
      <c r="Q61" s="209">
        <v>2.894</v>
      </c>
      <c r="R61" s="209">
        <v>0.3681</v>
      </c>
    </row>
    <row r="62" spans="1:18" ht="12.75">
      <c r="A62" s="209">
        <v>0.2063</v>
      </c>
      <c r="B62" s="209">
        <v>0.03475</v>
      </c>
      <c r="C62" s="209">
        <f t="shared" si="2"/>
        <v>0.035368143837791376</v>
      </c>
      <c r="D62" s="211">
        <f t="shared" si="3"/>
        <v>-1.451387731877571</v>
      </c>
      <c r="E62" s="209"/>
      <c r="F62" s="209"/>
      <c r="G62" s="209"/>
      <c r="H62"/>
      <c r="I62" s="209">
        <v>0.9914</v>
      </c>
      <c r="J62" s="209">
        <v>0.06332</v>
      </c>
      <c r="K62" s="209">
        <f t="shared" si="4"/>
        <v>0.06541357054832539</v>
      </c>
      <c r="L62" s="211">
        <f t="shared" si="5"/>
        <v>-1.184332144598148</v>
      </c>
      <c r="M62"/>
      <c r="Q62" s="209">
        <v>3.242</v>
      </c>
      <c r="R62" s="209">
        <v>0.3865</v>
      </c>
    </row>
    <row r="63" spans="1:18" ht="12.75">
      <c r="A63" s="209">
        <v>0.2111</v>
      </c>
      <c r="B63" s="209">
        <v>0.01046</v>
      </c>
      <c r="C63" s="209">
        <f t="shared" si="2"/>
        <v>0.010515090299766633</v>
      </c>
      <c r="D63" s="211">
        <f t="shared" si="3"/>
        <v>-1.978186993398775</v>
      </c>
      <c r="E63" s="209"/>
      <c r="F63" s="209"/>
      <c r="G63" s="209"/>
      <c r="H63"/>
      <c r="I63" s="209">
        <v>1.039</v>
      </c>
      <c r="J63" s="209">
        <v>0.02819</v>
      </c>
      <c r="K63" s="209">
        <f t="shared" si="4"/>
        <v>0.028594966880112795</v>
      </c>
      <c r="L63" s="211">
        <f t="shared" si="5"/>
        <v>-1.5437104021350596</v>
      </c>
      <c r="M63"/>
      <c r="Q63" s="209">
        <v>3.207</v>
      </c>
      <c r="R63" s="209">
        <v>0.4053</v>
      </c>
    </row>
    <row r="64" spans="1:18" ht="12.75">
      <c r="A64" s="209">
        <v>0.2306</v>
      </c>
      <c r="B64" s="209">
        <v>0.02623</v>
      </c>
      <c r="C64" s="209">
        <f t="shared" si="2"/>
        <v>0.026580142855344567</v>
      </c>
      <c r="D64" s="211">
        <f t="shared" si="3"/>
        <v>-1.5754426892653284</v>
      </c>
      <c r="E64" s="209"/>
      <c r="F64" s="209"/>
      <c r="G64" s="209"/>
      <c r="H64"/>
      <c r="I64"/>
      <c r="J64"/>
      <c r="K64"/>
      <c r="L64" s="178">
        <f>STDEV(L53:L63)</f>
        <v>0.23099044940059904</v>
      </c>
      <c r="M64"/>
      <c r="Q64" s="209">
        <v>3.223</v>
      </c>
      <c r="R64" s="209">
        <v>0.4618</v>
      </c>
    </row>
    <row r="65" spans="1:18" ht="12.75">
      <c r="A65"/>
      <c r="B65"/>
      <c r="C65"/>
      <c r="D65" s="178">
        <f>STDEV(D53:D64)</f>
        <v>0.31729039399125036</v>
      </c>
      <c r="E65"/>
      <c r="F65"/>
      <c r="G65"/>
      <c r="H65"/>
      <c r="I65"/>
      <c r="J65"/>
      <c r="K65"/>
      <c r="L65"/>
      <c r="M65"/>
      <c r="Q65" s="209">
        <v>3.206</v>
      </c>
      <c r="R65" s="209">
        <v>0.5451</v>
      </c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Q66" s="209">
        <v>4.009</v>
      </c>
      <c r="R66" s="209">
        <v>0.5415</v>
      </c>
    </row>
    <row r="67" spans="1:18" ht="12.75">
      <c r="A67" t="s">
        <v>598</v>
      </c>
      <c r="B67" t="s">
        <v>598</v>
      </c>
      <c r="C67"/>
      <c r="D67"/>
      <c r="E67"/>
      <c r="F67"/>
      <c r="G67"/>
      <c r="H67"/>
      <c r="I67" t="s">
        <v>598</v>
      </c>
      <c r="J67" t="s">
        <v>598</v>
      </c>
      <c r="K67"/>
      <c r="L67"/>
      <c r="M67"/>
      <c r="Q67" s="209">
        <v>4.194</v>
      </c>
      <c r="R67" s="209">
        <v>0.4876</v>
      </c>
    </row>
    <row r="68" spans="1:18" ht="12.75">
      <c r="A68" s="210">
        <f>AVERAGE(A53:A65)</f>
        <v>0.1711666666666667</v>
      </c>
      <c r="B68" s="210">
        <f>AVERAGE(B53:B65)</f>
        <v>0.040051666666666666</v>
      </c>
      <c r="C68" s="210"/>
      <c r="D68" s="210"/>
      <c r="E68" s="210"/>
      <c r="F68" s="210"/>
      <c r="G68" s="210"/>
      <c r="H68"/>
      <c r="I68" s="210">
        <f>AVERAGE(I53:I65)</f>
        <v>0.8593454545454545</v>
      </c>
      <c r="J68" s="210">
        <f>AVERAGE(J53:J65)</f>
        <v>0.07346727272727274</v>
      </c>
      <c r="K68" s="210"/>
      <c r="L68" s="210"/>
      <c r="M68"/>
      <c r="Q68" s="209">
        <v>4.221</v>
      </c>
      <c r="R68" s="209">
        <v>0.5602</v>
      </c>
    </row>
    <row r="69" spans="1:18" ht="12.75">
      <c r="A69" t="s">
        <v>170</v>
      </c>
      <c r="B69" t="s">
        <v>170</v>
      </c>
      <c r="C69"/>
      <c r="D69"/>
      <c r="E69"/>
      <c r="F69"/>
      <c r="G69"/>
      <c r="H69"/>
      <c r="I69" t="s">
        <v>170</v>
      </c>
      <c r="J69" t="s">
        <v>170</v>
      </c>
      <c r="K69"/>
      <c r="L69"/>
      <c r="M69"/>
      <c r="Q69" s="209">
        <v>4.288</v>
      </c>
      <c r="R69" s="209">
        <v>0.6004</v>
      </c>
    </row>
    <row r="70" spans="1:18" ht="12.75">
      <c r="A70" s="3">
        <f>STDEV(A53:A65)</f>
        <v>0.03301667163813751</v>
      </c>
      <c r="B70" s="3">
        <f>STDEV(B53:B65)</f>
        <v>0.02892247752286458</v>
      </c>
      <c r="C70" s="3"/>
      <c r="D70" s="3"/>
      <c r="E70" s="3"/>
      <c r="F70" s="3"/>
      <c r="G70" s="3"/>
      <c r="H70"/>
      <c r="I70" s="3">
        <f>STDEV(I53:I65)</f>
        <v>0.11331310924722127</v>
      </c>
      <c r="J70" s="3">
        <f>STDEV(J53:J65)</f>
        <v>0.03434582917645431</v>
      </c>
      <c r="K70" s="3"/>
      <c r="L70" s="3"/>
      <c r="M70"/>
      <c r="Q70" s="209">
        <v>4.308</v>
      </c>
      <c r="R70" s="209">
        <v>0.6542</v>
      </c>
    </row>
    <row r="71" spans="1:18" ht="12.75">
      <c r="A71" t="s">
        <v>139</v>
      </c>
      <c r="B71" t="s">
        <v>139</v>
      </c>
      <c r="C71"/>
      <c r="D71"/>
      <c r="E71"/>
      <c r="F71"/>
      <c r="G71"/>
      <c r="H71"/>
      <c r="I71" t="s">
        <v>139</v>
      </c>
      <c r="J71" t="s">
        <v>139</v>
      </c>
      <c r="K71"/>
      <c r="L71"/>
      <c r="M71"/>
      <c r="Q71" s="209">
        <v>5.325</v>
      </c>
      <c r="R71" s="209">
        <v>0.6587</v>
      </c>
    </row>
    <row r="72" spans="1:18" ht="12.75">
      <c r="A72" s="210">
        <f>MEDIAN(A53:A65)</f>
        <v>0.1612</v>
      </c>
      <c r="B72" s="210">
        <f>MEDIAN(B53:B65)</f>
        <v>0.031059999999999997</v>
      </c>
      <c r="C72" s="210"/>
      <c r="D72" s="210"/>
      <c r="E72" s="210"/>
      <c r="F72" s="210"/>
      <c r="G72" s="210"/>
      <c r="H72"/>
      <c r="I72" s="210">
        <f>MEDIAN(I53:I65)</f>
        <v>0.8114</v>
      </c>
      <c r="J72" s="210">
        <f>MEDIAN(J53:J65)</f>
        <v>0.06702</v>
      </c>
      <c r="K72" s="210"/>
      <c r="L72" s="210"/>
      <c r="M72"/>
      <c r="Q72" s="209">
        <v>6.423</v>
      </c>
      <c r="R72" s="209">
        <v>0.6687</v>
      </c>
    </row>
    <row r="73" spans="1:18" ht="12.75">
      <c r="A73"/>
      <c r="B73"/>
      <c r="C73"/>
      <c r="D73"/>
      <c r="E73" s="209"/>
      <c r="F73" s="209"/>
      <c r="G73"/>
      <c r="H73"/>
      <c r="I73"/>
      <c r="J73"/>
      <c r="K73"/>
      <c r="L73"/>
      <c r="M73"/>
      <c r="Q73" s="209">
        <v>7.386</v>
      </c>
      <c r="R73" s="209">
        <v>0.7031</v>
      </c>
    </row>
    <row r="74" spans="1:18" ht="12.75">
      <c r="A74" t="s">
        <v>564</v>
      </c>
      <c r="B74"/>
      <c r="C74"/>
      <c r="D74"/>
      <c r="E74" s="209"/>
      <c r="F74" s="209"/>
      <c r="G74"/>
      <c r="H74"/>
      <c r="I74" t="s">
        <v>564</v>
      </c>
      <c r="J74"/>
      <c r="K74"/>
      <c r="L74"/>
      <c r="M74"/>
      <c r="Q74" s="209">
        <v>6.72</v>
      </c>
      <c r="R74" s="209">
        <v>0.6174</v>
      </c>
    </row>
    <row r="75" spans="1:18" ht="12.75">
      <c r="A75" s="208">
        <f>A70/A68</f>
        <v>0.19289194725299422</v>
      </c>
      <c r="B75"/>
      <c r="C75"/>
      <c r="D75"/>
      <c r="E75" s="209"/>
      <c r="F75" s="209"/>
      <c r="G75"/>
      <c r="H75"/>
      <c r="I75" s="208">
        <f>I70/I68</f>
        <v>0.1318597877580647</v>
      </c>
      <c r="J75"/>
      <c r="K75"/>
      <c r="L75"/>
      <c r="M75"/>
      <c r="Q75" s="209">
        <v>7.599</v>
      </c>
      <c r="R75" s="209">
        <v>0.6008</v>
      </c>
    </row>
    <row r="76" spans="1:18" ht="12.75">
      <c r="A76"/>
      <c r="B76"/>
      <c r="C76"/>
      <c r="D76"/>
      <c r="E76" s="209"/>
      <c r="F76" s="209"/>
      <c r="G76"/>
      <c r="H76"/>
      <c r="I76"/>
      <c r="J76"/>
      <c r="K76"/>
      <c r="L76"/>
      <c r="M76"/>
      <c r="Q76" s="209">
        <v>5.346</v>
      </c>
      <c r="R76" s="209">
        <v>0.5619</v>
      </c>
    </row>
    <row r="77" spans="1:18" ht="12.75">
      <c r="A77"/>
      <c r="B77"/>
      <c r="C77"/>
      <c r="D77"/>
      <c r="E77" s="209"/>
      <c r="F77" s="209"/>
      <c r="G77"/>
      <c r="H77"/>
      <c r="I77"/>
      <c r="J77"/>
      <c r="K77"/>
      <c r="L77"/>
      <c r="M77"/>
      <c r="Q77" s="209">
        <v>6.816</v>
      </c>
      <c r="R77" s="209">
        <v>0.4937</v>
      </c>
    </row>
    <row r="78" spans="1:18" ht="12.75">
      <c r="A78"/>
      <c r="B78"/>
      <c r="C78"/>
      <c r="D78"/>
      <c r="E78" s="209"/>
      <c r="F78" s="209"/>
      <c r="G78"/>
      <c r="H78"/>
      <c r="I78"/>
      <c r="J78"/>
      <c r="K78"/>
      <c r="L78"/>
      <c r="M78"/>
      <c r="Q78" s="209">
        <v>5.303</v>
      </c>
      <c r="R78" s="209">
        <v>0.4678</v>
      </c>
    </row>
    <row r="79" spans="1:18" ht="12.75">
      <c r="A79"/>
      <c r="B79"/>
      <c r="C79"/>
      <c r="D79"/>
      <c r="E79" s="209"/>
      <c r="F79" s="209"/>
      <c r="G79"/>
      <c r="H79"/>
      <c r="I79"/>
      <c r="J79"/>
      <c r="K79"/>
      <c r="L79"/>
      <c r="M79"/>
      <c r="Q79" s="209">
        <v>4.924</v>
      </c>
      <c r="R79" s="209">
        <v>0.4735</v>
      </c>
    </row>
    <row r="80" spans="1:18" ht="12.75">
      <c r="A80"/>
      <c r="B80"/>
      <c r="C80"/>
      <c r="D80"/>
      <c r="E80" s="209"/>
      <c r="F80" s="209"/>
      <c r="G80"/>
      <c r="H80"/>
      <c r="I80"/>
      <c r="J80"/>
      <c r="K80"/>
      <c r="L80"/>
      <c r="M80"/>
      <c r="Q80" s="209">
        <v>4.378</v>
      </c>
      <c r="R80" s="209">
        <v>0.4095</v>
      </c>
    </row>
    <row r="81" spans="1:18" ht="12.75">
      <c r="A81"/>
      <c r="B81"/>
      <c r="C81"/>
      <c r="D81"/>
      <c r="E81" s="209"/>
      <c r="F81" s="209"/>
      <c r="G81"/>
      <c r="H81"/>
      <c r="I81"/>
      <c r="J81"/>
      <c r="K81"/>
      <c r="L81"/>
      <c r="M81"/>
      <c r="Q81" s="209">
        <v>4.223</v>
      </c>
      <c r="R81" s="209">
        <v>0.423</v>
      </c>
    </row>
    <row r="82" spans="1:18" ht="12.75">
      <c r="A82"/>
      <c r="B82"/>
      <c r="C82"/>
      <c r="D82"/>
      <c r="E82" s="209"/>
      <c r="F82" s="209"/>
      <c r="G82"/>
      <c r="H82"/>
      <c r="I82"/>
      <c r="J82"/>
      <c r="K82"/>
      <c r="L82"/>
      <c r="M82"/>
      <c r="Q82" s="209">
        <v>4.006</v>
      </c>
      <c r="R82" s="209">
        <v>0.3883</v>
      </c>
    </row>
    <row r="83" spans="1:18" ht="12.75">
      <c r="A83"/>
      <c r="B83"/>
      <c r="C83"/>
      <c r="D83"/>
      <c r="E83" s="209"/>
      <c r="F83" s="209"/>
      <c r="G83"/>
      <c r="H83"/>
      <c r="I83"/>
      <c r="J83"/>
      <c r="K83"/>
      <c r="L83"/>
      <c r="M83"/>
      <c r="Q83" s="209">
        <v>4.58</v>
      </c>
      <c r="R83" s="209">
        <v>0.3555</v>
      </c>
    </row>
    <row r="84" spans="1:18" ht="12.75">
      <c r="A84"/>
      <c r="B84"/>
      <c r="C84"/>
      <c r="D84"/>
      <c r="E84" s="209"/>
      <c r="F84" s="209"/>
      <c r="G84"/>
      <c r="H84"/>
      <c r="I84"/>
      <c r="J84"/>
      <c r="K84"/>
      <c r="L84"/>
      <c r="M84"/>
      <c r="Q84" s="209">
        <v>5.2</v>
      </c>
      <c r="R84" s="209">
        <v>0.3846</v>
      </c>
    </row>
    <row r="85" spans="1:18" ht="12.75">
      <c r="A85"/>
      <c r="B85"/>
      <c r="C85"/>
      <c r="D85"/>
      <c r="E85"/>
      <c r="F85" s="209"/>
      <c r="G85"/>
      <c r="H85"/>
      <c r="I85"/>
      <c r="J85"/>
      <c r="K85"/>
      <c r="L85"/>
      <c r="M85"/>
      <c r="Q85" s="209">
        <v>5.186</v>
      </c>
      <c r="R85" s="209">
        <v>0.355</v>
      </c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Q86" s="209">
        <v>5.194</v>
      </c>
      <c r="R86" s="209">
        <v>0.3711</v>
      </c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Q87" s="215" t="s">
        <v>598</v>
      </c>
      <c r="R87" s="215" t="s">
        <v>598</v>
      </c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Q88" s="217">
        <f>AVERAGE(Q53:Q86)</f>
        <v>4.428735294117647</v>
      </c>
      <c r="R88" s="209">
        <f>AVERAGE(R53:R86)</f>
        <v>0.4426058823529411</v>
      </c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Q89" s="218" t="s">
        <v>170</v>
      </c>
      <c r="R89" s="215" t="s">
        <v>170</v>
      </c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Q90" s="217">
        <f>STDEV(Q53:Q86)</f>
        <v>1.430840234370117</v>
      </c>
      <c r="R90" s="209">
        <f>STDEV(R53:R86)</f>
        <v>0.1435899252420449</v>
      </c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Q91" s="218" t="s">
        <v>139</v>
      </c>
      <c r="R91" s="215" t="s">
        <v>139</v>
      </c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Q92" s="217">
        <f>MEDIAN(Q53:Q86)</f>
        <v>4.2325</v>
      </c>
      <c r="R92" s="209">
        <f>MEDIAN(R53:R86)</f>
        <v>0.41625</v>
      </c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Q93" s="192" t="s">
        <v>564</v>
      </c>
      <c r="R93" s="209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Q94" s="216">
        <f>Q90/Q88</f>
        <v>0.3230810015379771</v>
      </c>
      <c r="R94" s="209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23" ht="12.75">
      <c r="A96" t="s">
        <v>75</v>
      </c>
      <c r="B96" t="s">
        <v>98</v>
      </c>
      <c r="C96"/>
      <c r="D96"/>
      <c r="E96"/>
      <c r="F96"/>
      <c r="G96"/>
      <c r="H96"/>
      <c r="I96" t="s">
        <v>75</v>
      </c>
      <c r="J96" t="s">
        <v>98</v>
      </c>
      <c r="K96"/>
      <c r="L96"/>
      <c r="M96"/>
      <c r="N96"/>
      <c r="O96"/>
      <c r="P96"/>
      <c r="Q96" t="s">
        <v>75</v>
      </c>
      <c r="R96" t="s">
        <v>98</v>
      </c>
      <c r="S96"/>
      <c r="T96"/>
      <c r="U96"/>
      <c r="V96"/>
      <c r="W96"/>
    </row>
    <row r="97" spans="1:23" ht="12.75">
      <c r="A97" s="209">
        <v>0.1274</v>
      </c>
      <c r="B97" s="209">
        <v>0.2104</v>
      </c>
      <c r="C97" s="209">
        <f aca="true" t="shared" si="6" ref="C97:C112">-LN(1-B97)</f>
        <v>0.23622879086286525</v>
      </c>
      <c r="D97" s="211">
        <f aca="true" t="shared" si="7" ref="D97:D112">LOG(C97)</f>
        <v>-0.6266671729761748</v>
      </c>
      <c r="E97" s="209"/>
      <c r="F97" s="209"/>
      <c r="G97" s="209"/>
      <c r="H97"/>
      <c r="I97" s="209">
        <v>0.7215</v>
      </c>
      <c r="J97" s="209">
        <v>0.2873</v>
      </c>
      <c r="K97" s="209">
        <f>-LN(1-J97)</f>
        <v>0.3386947044743121</v>
      </c>
      <c r="L97" s="211">
        <f>LOG(K97)</f>
        <v>-0.4701915935400873</v>
      </c>
      <c r="M97"/>
      <c r="N97"/>
      <c r="O97"/>
      <c r="P97"/>
      <c r="Q97" s="209">
        <v>2.347</v>
      </c>
      <c r="R97" s="209">
        <v>0.796</v>
      </c>
      <c r="S97">
        <f>-LN(1-R97)</f>
        <v>1.589635285137921</v>
      </c>
      <c r="T97">
        <f>LOG(S97)</f>
        <v>0.2012974942443204</v>
      </c>
      <c r="U97"/>
      <c r="V97"/>
      <c r="W97"/>
    </row>
    <row r="98" spans="1:23" ht="12.75">
      <c r="A98" s="209">
        <v>0.1276</v>
      </c>
      <c r="B98" s="209">
        <v>0.2297</v>
      </c>
      <c r="C98" s="209">
        <f t="shared" si="6"/>
        <v>0.26097522962321695</v>
      </c>
      <c r="D98" s="211">
        <f t="shared" si="7"/>
        <v>-0.583400711621352</v>
      </c>
      <c r="E98" s="209"/>
      <c r="F98" s="209"/>
      <c r="G98" s="209"/>
      <c r="H98"/>
      <c r="I98" s="209">
        <v>0.7274</v>
      </c>
      <c r="J98" s="209">
        <v>0.1051</v>
      </c>
      <c r="K98" s="209">
        <f aca="true" t="shared" si="8" ref="K98:K109">-LN(1-J98)</f>
        <v>0.11104329879332449</v>
      </c>
      <c r="L98" s="211">
        <f aca="true" t="shared" si="9" ref="L98:L109">LOG(K98)</f>
        <v>-0.9545076449938896</v>
      </c>
      <c r="M98"/>
      <c r="N98"/>
      <c r="O98"/>
      <c r="P98"/>
      <c r="Q98" s="209">
        <v>2.699</v>
      </c>
      <c r="R98" s="209">
        <v>0.7917</v>
      </c>
      <c r="S98">
        <f aca="true" t="shared" si="10" ref="S98:S129">-LN(1-R98)</f>
        <v>1.5687759307152105</v>
      </c>
      <c r="T98">
        <f aca="true" t="shared" si="11" ref="T98:T129">LOG(S98)</f>
        <v>0.19556091745361023</v>
      </c>
      <c r="U98"/>
      <c r="V98"/>
      <c r="W98"/>
    </row>
    <row r="99" spans="1:23" ht="12.75">
      <c r="A99" s="209">
        <v>0.1368</v>
      </c>
      <c r="B99" s="209">
        <v>0.2257</v>
      </c>
      <c r="C99" s="209">
        <f t="shared" si="6"/>
        <v>0.25579588358945915</v>
      </c>
      <c r="D99" s="211">
        <f t="shared" si="7"/>
        <v>-0.5921064487110306</v>
      </c>
      <c r="E99" s="209"/>
      <c r="F99" s="209"/>
      <c r="G99" s="209"/>
      <c r="H99"/>
      <c r="I99" s="209">
        <v>0.729</v>
      </c>
      <c r="J99" s="209">
        <v>0.1478</v>
      </c>
      <c r="K99" s="209">
        <f t="shared" si="8"/>
        <v>0.1599340379163253</v>
      </c>
      <c r="L99" s="211">
        <f t="shared" si="9"/>
        <v>-0.7960590978167079</v>
      </c>
      <c r="M99"/>
      <c r="N99"/>
      <c r="O99"/>
      <c r="P99"/>
      <c r="Q99" s="209">
        <v>2.759</v>
      </c>
      <c r="R99" s="209">
        <v>0.8808</v>
      </c>
      <c r="S99">
        <f t="shared" si="10"/>
        <v>2.1269525243508878</v>
      </c>
      <c r="T99">
        <f t="shared" si="11"/>
        <v>0.3277577961356655</v>
      </c>
      <c r="U99"/>
      <c r="V99"/>
      <c r="W99"/>
    </row>
    <row r="100" spans="1:23" ht="12.75">
      <c r="A100" s="209">
        <v>0.149</v>
      </c>
      <c r="B100" s="209">
        <v>0.1983</v>
      </c>
      <c r="C100" s="209">
        <f t="shared" si="6"/>
        <v>0.22102080593323117</v>
      </c>
      <c r="D100" s="211">
        <f t="shared" si="7"/>
        <v>-0.6555668418050268</v>
      </c>
      <c r="E100" s="209"/>
      <c r="F100" s="209"/>
      <c r="G100" s="209"/>
      <c r="H100"/>
      <c r="I100" s="209">
        <v>0.7304</v>
      </c>
      <c r="J100" s="209">
        <v>0.1865</v>
      </c>
      <c r="K100" s="209">
        <f t="shared" si="8"/>
        <v>0.20640935232304458</v>
      </c>
      <c r="L100" s="211">
        <f t="shared" si="9"/>
        <v>-0.6852706288942753</v>
      </c>
      <c r="M100"/>
      <c r="N100"/>
      <c r="O100"/>
      <c r="P100"/>
      <c r="Q100" s="209">
        <v>3.004</v>
      </c>
      <c r="R100" s="209">
        <v>0.838</v>
      </c>
      <c r="S100">
        <f t="shared" si="10"/>
        <v>1.8201589437497527</v>
      </c>
      <c r="T100">
        <f t="shared" si="11"/>
        <v>0.260109314017735</v>
      </c>
      <c r="U100"/>
      <c r="V100"/>
      <c r="W100"/>
    </row>
    <row r="101" spans="1:23" ht="12.75">
      <c r="A101" s="209">
        <v>0.1547</v>
      </c>
      <c r="B101" s="209">
        <v>0.2486</v>
      </c>
      <c r="C101" s="209">
        <f t="shared" si="6"/>
        <v>0.2858171458422684</v>
      </c>
      <c r="D101" s="211">
        <f t="shared" si="7"/>
        <v>-0.543911721936471</v>
      </c>
      <c r="E101" s="209"/>
      <c r="F101" s="209"/>
      <c r="G101" s="209"/>
      <c r="H101"/>
      <c r="I101" s="209">
        <v>0.7315</v>
      </c>
      <c r="J101" s="209">
        <v>0.2136</v>
      </c>
      <c r="K101" s="209">
        <f t="shared" si="8"/>
        <v>0.24028971014918027</v>
      </c>
      <c r="L101" s="211">
        <f t="shared" si="9"/>
        <v>-0.6192648264541639</v>
      </c>
      <c r="M101"/>
      <c r="N101"/>
      <c r="O101"/>
      <c r="P101"/>
      <c r="Q101" s="209">
        <v>3.046</v>
      </c>
      <c r="R101" s="209">
        <v>0.7643</v>
      </c>
      <c r="S101">
        <f t="shared" si="10"/>
        <v>1.4451954690400515</v>
      </c>
      <c r="T101">
        <f t="shared" si="11"/>
        <v>0.15992659130313375</v>
      </c>
      <c r="U101"/>
      <c r="V101"/>
      <c r="W101"/>
    </row>
    <row r="102" spans="1:23" ht="12.75">
      <c r="A102" s="209">
        <v>0.155</v>
      </c>
      <c r="B102" s="209">
        <v>0.2874</v>
      </c>
      <c r="C102" s="209">
        <f t="shared" si="6"/>
        <v>0.3388350258104013</v>
      </c>
      <c r="D102" s="211">
        <f t="shared" si="7"/>
        <v>-0.4700117024442309</v>
      </c>
      <c r="E102" s="209"/>
      <c r="F102" s="209"/>
      <c r="G102" s="209"/>
      <c r="H102"/>
      <c r="I102" s="209">
        <v>0.7466</v>
      </c>
      <c r="J102" s="209">
        <v>0.2717</v>
      </c>
      <c r="K102" s="209">
        <f t="shared" si="8"/>
        <v>0.3170422277582676</v>
      </c>
      <c r="L102" s="211">
        <f t="shared" si="9"/>
        <v>-0.49888288900933403</v>
      </c>
      <c r="M102"/>
      <c r="N102"/>
      <c r="O102"/>
      <c r="P102"/>
      <c r="Q102" s="209">
        <v>3.054</v>
      </c>
      <c r="R102" s="209">
        <v>0.8186</v>
      </c>
      <c r="S102">
        <f t="shared" si="10"/>
        <v>1.7070507413011007</v>
      </c>
      <c r="T102">
        <f t="shared" si="11"/>
        <v>0.23224643051107483</v>
      </c>
      <c r="U102"/>
      <c r="V102"/>
      <c r="W102"/>
    </row>
    <row r="103" spans="1:23" ht="12.75">
      <c r="A103" s="209">
        <v>0.1603</v>
      </c>
      <c r="B103" s="209">
        <v>0.2602</v>
      </c>
      <c r="C103" s="209">
        <f t="shared" si="6"/>
        <v>0.3013753995837834</v>
      </c>
      <c r="D103" s="211">
        <f t="shared" si="7"/>
        <v>-0.5208922007972617</v>
      </c>
      <c r="E103" s="209"/>
      <c r="F103" s="209"/>
      <c r="G103" s="209"/>
      <c r="H103"/>
      <c r="I103" s="209">
        <v>0.764</v>
      </c>
      <c r="J103" s="209">
        <v>0.3802</v>
      </c>
      <c r="K103" s="209">
        <f t="shared" si="8"/>
        <v>0.4783584336284892</v>
      </c>
      <c r="L103" s="211">
        <f t="shared" si="9"/>
        <v>-0.32024656486843817</v>
      </c>
      <c r="M103"/>
      <c r="N103"/>
      <c r="O103"/>
      <c r="P103"/>
      <c r="Q103" s="209">
        <v>3.061</v>
      </c>
      <c r="R103" s="209">
        <v>0.8612</v>
      </c>
      <c r="S103">
        <f t="shared" si="10"/>
        <v>1.9747212309094326</v>
      </c>
      <c r="T103">
        <f t="shared" si="11"/>
        <v>0.2955057954445742</v>
      </c>
      <c r="U103"/>
      <c r="V103"/>
      <c r="W103"/>
    </row>
    <row r="104" spans="1:23" ht="12.75">
      <c r="A104" s="210">
        <f>AVERAGE(A81:A101)</f>
        <v>0.1391</v>
      </c>
      <c r="B104" s="210">
        <f>AVERAGE(B81:B101)</f>
        <v>0.22254000000000002</v>
      </c>
      <c r="C104" s="209">
        <f t="shared" si="6"/>
        <v>0.25172308319752495</v>
      </c>
      <c r="D104" s="211">
        <f t="shared" si="7"/>
        <v>-0.5990769574923602</v>
      </c>
      <c r="E104" s="209"/>
      <c r="F104" s="209"/>
      <c r="G104" s="209"/>
      <c r="H104"/>
      <c r="I104" s="209">
        <v>0.8011</v>
      </c>
      <c r="J104" s="209">
        <v>0.2832</v>
      </c>
      <c r="K104" s="209">
        <f t="shared" si="8"/>
        <v>0.3329584173214163</v>
      </c>
      <c r="L104" s="211">
        <f t="shared" si="9"/>
        <v>-0.4776100014951619</v>
      </c>
      <c r="M104"/>
      <c r="N104"/>
      <c r="O104"/>
      <c r="P104"/>
      <c r="Q104" s="209">
        <v>3.113</v>
      </c>
      <c r="R104" s="209">
        <v>0.8495</v>
      </c>
      <c r="S104">
        <f t="shared" si="10"/>
        <v>1.8937921947932068</v>
      </c>
      <c r="T104">
        <f t="shared" si="11"/>
        <v>0.2773323222882061</v>
      </c>
      <c r="U104"/>
      <c r="V104"/>
      <c r="W104"/>
    </row>
    <row r="105" spans="1:23" ht="12.75">
      <c r="A105" s="209">
        <v>0.1776</v>
      </c>
      <c r="B105" s="209">
        <v>0.2095</v>
      </c>
      <c r="C105" s="209">
        <f t="shared" si="6"/>
        <v>0.23508962233261035</v>
      </c>
      <c r="D105" s="211">
        <f t="shared" si="7"/>
        <v>-0.6287665417094177</v>
      </c>
      <c r="E105" s="209"/>
      <c r="F105" s="209"/>
      <c r="G105" s="209"/>
      <c r="H105"/>
      <c r="I105" s="209">
        <v>0.8019</v>
      </c>
      <c r="J105" s="209">
        <v>0.3026</v>
      </c>
      <c r="K105" s="209">
        <f t="shared" si="8"/>
        <v>0.36039614474058623</v>
      </c>
      <c r="L105" s="211">
        <f t="shared" si="9"/>
        <v>-0.4432198634389374</v>
      </c>
      <c r="M105"/>
      <c r="N105"/>
      <c r="O105"/>
      <c r="P105"/>
      <c r="Q105" s="209">
        <v>3.278</v>
      </c>
      <c r="R105" s="209">
        <v>0.8378</v>
      </c>
      <c r="S105">
        <f t="shared" si="10"/>
        <v>1.8189251373008244</v>
      </c>
      <c r="T105">
        <f t="shared" si="11"/>
        <v>0.2598148248874465</v>
      </c>
      <c r="U105"/>
      <c r="V105"/>
      <c r="W105"/>
    </row>
    <row r="106" spans="1:23" ht="12.75">
      <c r="A106" s="209">
        <v>0.1849</v>
      </c>
      <c r="B106" s="209">
        <v>0.3179</v>
      </c>
      <c r="C106" s="209">
        <f>-LN(1-B106)</f>
        <v>0.38257900432146347</v>
      </c>
      <c r="D106" s="211">
        <f>LOG(C106)</f>
        <v>-0.4172788674439319</v>
      </c>
      <c r="E106" s="209"/>
      <c r="F106" s="209"/>
      <c r="G106" s="209"/>
      <c r="H106"/>
      <c r="I106" s="209">
        <v>0.9362</v>
      </c>
      <c r="J106" s="209">
        <v>0.2557</v>
      </c>
      <c r="K106" s="209">
        <f t="shared" si="8"/>
        <v>0.2953110996162721</v>
      </c>
      <c r="L106" s="211">
        <f t="shared" si="9"/>
        <v>-0.5297202292573904</v>
      </c>
      <c r="M106"/>
      <c r="N106"/>
      <c r="O106"/>
      <c r="P106"/>
      <c r="Q106" s="209">
        <v>3.846</v>
      </c>
      <c r="R106" s="209">
        <v>0.8839</v>
      </c>
      <c r="S106">
        <f t="shared" si="10"/>
        <v>2.153303390278291</v>
      </c>
      <c r="T106">
        <f t="shared" si="11"/>
        <v>0.33310522417604504</v>
      </c>
      <c r="U106"/>
      <c r="V106"/>
      <c r="W106"/>
    </row>
    <row r="107" spans="1:23" ht="12.75">
      <c r="A107" s="209">
        <v>0.1881</v>
      </c>
      <c r="B107" s="209">
        <v>0.3024</v>
      </c>
      <c r="C107" s="209">
        <f t="shared" si="6"/>
        <v>0.36010940638736716</v>
      </c>
      <c r="D107" s="211">
        <f t="shared" si="7"/>
        <v>-0.4435655343110976</v>
      </c>
      <c r="E107" s="209"/>
      <c r="F107" s="209"/>
      <c r="G107" s="209"/>
      <c r="H107"/>
      <c r="I107" s="209">
        <v>0.9552</v>
      </c>
      <c r="J107" s="209">
        <v>0.306</v>
      </c>
      <c r="K107" s="209">
        <f t="shared" si="8"/>
        <v>0.3652833184753326</v>
      </c>
      <c r="L107" s="211">
        <f t="shared" si="9"/>
        <v>-0.43737016041752025</v>
      </c>
      <c r="M107"/>
      <c r="N107"/>
      <c r="O107"/>
      <c r="P107"/>
      <c r="Q107" s="209">
        <v>3.974</v>
      </c>
      <c r="R107" s="209">
        <v>0.8411</v>
      </c>
      <c r="S107">
        <f t="shared" si="10"/>
        <v>1.8394802054394666</v>
      </c>
      <c r="T107">
        <f t="shared" si="11"/>
        <v>0.26469511876966534</v>
      </c>
      <c r="U107"/>
      <c r="V107"/>
      <c r="W107"/>
    </row>
    <row r="108" spans="1:23" ht="12.75">
      <c r="A108" s="209">
        <v>0.2039</v>
      </c>
      <c r="B108" s="209">
        <v>0.1743</v>
      </c>
      <c r="C108" s="209">
        <f t="shared" si="6"/>
        <v>0.19152376755875417</v>
      </c>
      <c r="D108" s="211">
        <f t="shared" si="7"/>
        <v>-0.7177773236320905</v>
      </c>
      <c r="E108" s="209"/>
      <c r="F108" s="209"/>
      <c r="G108" s="209"/>
      <c r="H108"/>
      <c r="I108" s="209">
        <v>0.9769</v>
      </c>
      <c r="J108" s="209">
        <v>0.4028</v>
      </c>
      <c r="K108" s="209">
        <f t="shared" si="8"/>
        <v>0.5155032133171018</v>
      </c>
      <c r="L108" s="211">
        <f t="shared" si="9"/>
        <v>-0.28776862325818237</v>
      </c>
      <c r="M108"/>
      <c r="N108"/>
      <c r="O108"/>
      <c r="P108"/>
      <c r="Q108" s="209">
        <v>3.986</v>
      </c>
      <c r="R108" s="209">
        <v>0.8993</v>
      </c>
      <c r="S108">
        <f t="shared" si="10"/>
        <v>2.2956094792576205</v>
      </c>
      <c r="T108">
        <f t="shared" si="11"/>
        <v>0.36089800941033506</v>
      </c>
      <c r="U108"/>
      <c r="V108"/>
      <c r="W108"/>
    </row>
    <row r="109" spans="1:23" ht="12.75">
      <c r="A109" s="209">
        <v>0.2062</v>
      </c>
      <c r="B109" s="209">
        <v>0.05408</v>
      </c>
      <c r="C109" s="209">
        <f t="shared" si="6"/>
        <v>0.055597280102409496</v>
      </c>
      <c r="D109" s="211">
        <f t="shared" si="7"/>
        <v>-1.2549464541986675</v>
      </c>
      <c r="E109" s="209"/>
      <c r="F109" s="209"/>
      <c r="G109" s="209"/>
      <c r="H109"/>
      <c r="I109" s="209">
        <v>0.991</v>
      </c>
      <c r="J109" s="209">
        <v>0.3408</v>
      </c>
      <c r="K109" s="209">
        <f t="shared" si="8"/>
        <v>0.4167283003868751</v>
      </c>
      <c r="L109" s="211">
        <f t="shared" si="9"/>
        <v>-0.380147005219444</v>
      </c>
      <c r="M109"/>
      <c r="N109"/>
      <c r="O109"/>
      <c r="P109"/>
      <c r="Q109" s="209">
        <v>4.018</v>
      </c>
      <c r="R109" s="209">
        <v>0.7171</v>
      </c>
      <c r="S109">
        <f t="shared" si="10"/>
        <v>1.2626618006746153</v>
      </c>
      <c r="T109">
        <f t="shared" si="11"/>
        <v>0.10128704194929601</v>
      </c>
      <c r="U109"/>
      <c r="V109"/>
      <c r="W109"/>
    </row>
    <row r="110" spans="1:23" ht="12.75">
      <c r="A110" s="209">
        <v>0.2067</v>
      </c>
      <c r="B110" s="209">
        <v>0.1083</v>
      </c>
      <c r="C110" s="209">
        <f t="shared" si="6"/>
        <v>0.11462552584130324</v>
      </c>
      <c r="D110" s="211">
        <f t="shared" si="7"/>
        <v>-0.9407186590039069</v>
      </c>
      <c r="E110" s="209"/>
      <c r="F110" s="209"/>
      <c r="G110" s="209"/>
      <c r="H110"/>
      <c r="I110"/>
      <c r="J110"/>
      <c r="K110"/>
      <c r="L110" s="178">
        <f>STDEV(L97:L109)</f>
        <v>0.189647242388287</v>
      </c>
      <c r="M110"/>
      <c r="N110"/>
      <c r="O110"/>
      <c r="P110"/>
      <c r="Q110" s="209">
        <v>4.118</v>
      </c>
      <c r="R110" s="209">
        <v>0.8527</v>
      </c>
      <c r="S110">
        <f t="shared" si="10"/>
        <v>1.9152839555135526</v>
      </c>
      <c r="T110">
        <f t="shared" si="11"/>
        <v>0.2822331705608294</v>
      </c>
      <c r="U110"/>
      <c r="V110"/>
      <c r="W110"/>
    </row>
    <row r="111" spans="1:23" ht="12.75">
      <c r="A111" s="209">
        <v>0.2106</v>
      </c>
      <c r="B111" s="209">
        <v>0.1277</v>
      </c>
      <c r="C111" s="209">
        <f t="shared" si="6"/>
        <v>0.13662187754296423</v>
      </c>
      <c r="D111" s="211">
        <f t="shared" si="7"/>
        <v>-0.8644797506148428</v>
      </c>
      <c r="E111"/>
      <c r="F111"/>
      <c r="G111"/>
      <c r="H111"/>
      <c r="I111" t="s">
        <v>598</v>
      </c>
      <c r="J111" t="s">
        <v>598</v>
      </c>
      <c r="K111"/>
      <c r="L111"/>
      <c r="M111"/>
      <c r="N111"/>
      <c r="O111"/>
      <c r="P111"/>
      <c r="Q111" s="209">
        <v>4.13</v>
      </c>
      <c r="R111" s="209">
        <v>0.9108</v>
      </c>
      <c r="S111">
        <f t="shared" si="10"/>
        <v>2.416874239396174</v>
      </c>
      <c r="T111">
        <f t="shared" si="11"/>
        <v>0.3832540527422623</v>
      </c>
      <c r="U111"/>
      <c r="V111"/>
      <c r="W111"/>
    </row>
    <row r="112" spans="1:23" ht="12.75">
      <c r="A112" s="209">
        <v>0.2266</v>
      </c>
      <c r="B112" s="209">
        <v>0.1895</v>
      </c>
      <c r="C112" s="209">
        <f t="shared" si="6"/>
        <v>0.21010393780640627</v>
      </c>
      <c r="D112" s="211">
        <f t="shared" si="7"/>
        <v>-0.6775658078912068</v>
      </c>
      <c r="E112" s="210"/>
      <c r="F112" s="210"/>
      <c r="G112" s="210"/>
      <c r="H112"/>
      <c r="I112" s="210">
        <f>AVERAGE(I97:I109)</f>
        <v>0.8163615384615385</v>
      </c>
      <c r="J112" s="210">
        <f>AVERAGE(J97:J109)</f>
        <v>0.26794615384615383</v>
      </c>
      <c r="K112" s="210"/>
      <c r="L112" s="210"/>
      <c r="M112"/>
      <c r="N112"/>
      <c r="O112"/>
      <c r="P112"/>
      <c r="Q112" s="209">
        <v>4.15</v>
      </c>
      <c r="R112" s="209">
        <v>0.6666</v>
      </c>
      <c r="S112">
        <f t="shared" si="10"/>
        <v>1.0984123086654434</v>
      </c>
      <c r="T112">
        <f t="shared" si="11"/>
        <v>0.0407653909034352</v>
      </c>
      <c r="U112"/>
      <c r="V112"/>
      <c r="W112"/>
    </row>
    <row r="113" spans="1:23" ht="12.75">
      <c r="A113"/>
      <c r="B113"/>
      <c r="C113"/>
      <c r="D113" s="212">
        <f>STDEV(D97:D112)</f>
        <v>0.21121307843930984</v>
      </c>
      <c r="E113"/>
      <c r="F113"/>
      <c r="G113"/>
      <c r="H113"/>
      <c r="I113" t="s">
        <v>170</v>
      </c>
      <c r="J113" t="s">
        <v>170</v>
      </c>
      <c r="K113"/>
      <c r="L113"/>
      <c r="M113"/>
      <c r="N113"/>
      <c r="O113"/>
      <c r="P113"/>
      <c r="Q113" s="209">
        <v>4.174</v>
      </c>
      <c r="R113" s="209">
        <v>0.779</v>
      </c>
      <c r="S113">
        <f t="shared" si="10"/>
        <v>1.5095925774643844</v>
      </c>
      <c r="T113">
        <f t="shared" si="11"/>
        <v>0.17885975177386979</v>
      </c>
      <c r="U113"/>
      <c r="V113"/>
      <c r="W113"/>
    </row>
    <row r="114" spans="1:23" ht="12.75">
      <c r="A114" s="3"/>
      <c r="B114" s="3"/>
      <c r="C114" s="3"/>
      <c r="D114" s="3"/>
      <c r="E114" s="3"/>
      <c r="F114" s="3"/>
      <c r="G114" s="3"/>
      <c r="H114"/>
      <c r="I114" s="3">
        <f>STDEV(I97:I109)</f>
        <v>0.10688576096672514</v>
      </c>
      <c r="J114" s="3">
        <f>STDEV(J97:J109)</f>
        <v>0.08662919653504635</v>
      </c>
      <c r="K114" s="3"/>
      <c r="L114" s="3"/>
      <c r="M114"/>
      <c r="N114"/>
      <c r="O114"/>
      <c r="P114"/>
      <c r="Q114" s="209">
        <v>4.179</v>
      </c>
      <c r="R114" s="209">
        <v>0.7984</v>
      </c>
      <c r="S114">
        <f t="shared" si="10"/>
        <v>1.6014697427849236</v>
      </c>
      <c r="T114">
        <f t="shared" si="11"/>
        <v>0.2045187377761881</v>
      </c>
      <c r="U114"/>
      <c r="V114"/>
      <c r="W114"/>
    </row>
    <row r="115" spans="1:23" ht="12.75">
      <c r="A115" t="s">
        <v>598</v>
      </c>
      <c r="B115" t="s">
        <v>598</v>
      </c>
      <c r="C115"/>
      <c r="D115"/>
      <c r="E115"/>
      <c r="F115"/>
      <c r="G115"/>
      <c r="H115"/>
      <c r="I115" t="s">
        <v>139</v>
      </c>
      <c r="J115" t="s">
        <v>139</v>
      </c>
      <c r="K115"/>
      <c r="L115"/>
      <c r="M115"/>
      <c r="N115"/>
      <c r="O115"/>
      <c r="P115"/>
      <c r="Q115" s="209">
        <v>4.182</v>
      </c>
      <c r="R115" s="209">
        <v>0.8139</v>
      </c>
      <c r="S115">
        <f t="shared" si="10"/>
        <v>1.6814711153339317</v>
      </c>
      <c r="T115">
        <f t="shared" si="11"/>
        <v>0.2256894113123671</v>
      </c>
      <c r="U115"/>
      <c r="V115"/>
      <c r="W115"/>
    </row>
    <row r="116" spans="1:23" ht="12.75">
      <c r="A116" s="210">
        <f>AVERAGE(A97:A112)</f>
        <v>0.17215625</v>
      </c>
      <c r="B116" s="210">
        <f>AVERAGE(B97:B112)</f>
        <v>0.21040749999999997</v>
      </c>
      <c r="C116" s="210"/>
      <c r="D116" s="210"/>
      <c r="E116" s="210"/>
      <c r="F116" s="210"/>
      <c r="G116" s="210"/>
      <c r="H116"/>
      <c r="I116" s="210">
        <f>MEDIAN(I97:I109)</f>
        <v>0.764</v>
      </c>
      <c r="J116" s="210">
        <f>MEDIAN(J97:J109)</f>
        <v>0.2832</v>
      </c>
      <c r="K116" s="210"/>
      <c r="L116" s="210"/>
      <c r="M116"/>
      <c r="N116"/>
      <c r="O116"/>
      <c r="P116"/>
      <c r="Q116" s="209">
        <v>4.187</v>
      </c>
      <c r="R116" s="209">
        <v>0.8371</v>
      </c>
      <c r="S116">
        <f t="shared" si="10"/>
        <v>1.8146187633741373</v>
      </c>
      <c r="T116">
        <f t="shared" si="11"/>
        <v>0.2587853972211456</v>
      </c>
      <c r="U116"/>
      <c r="V116"/>
      <c r="W116"/>
    </row>
    <row r="117" spans="1:23" ht="12.75">
      <c r="A117" t="s">
        <v>170</v>
      </c>
      <c r="B117" t="s">
        <v>170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209">
        <v>4.211</v>
      </c>
      <c r="R117" s="209">
        <v>0.6084</v>
      </c>
      <c r="S117">
        <f t="shared" si="10"/>
        <v>0.9375143683257818</v>
      </c>
      <c r="T117">
        <f t="shared" si="11"/>
        <v>-0.02802206756100803</v>
      </c>
      <c r="U117"/>
      <c r="V117"/>
      <c r="W117"/>
    </row>
    <row r="118" spans="1:23" ht="12.75">
      <c r="A118" s="3">
        <f>STDEV(A97:A112)</f>
        <v>0.03251174082799419</v>
      </c>
      <c r="B118" s="3">
        <f>STDEV(B97:B112)</f>
        <v>0.07034646217117119</v>
      </c>
      <c r="C118"/>
      <c r="D118"/>
      <c r="E118"/>
      <c r="F118"/>
      <c r="G118"/>
      <c r="H118"/>
      <c r="I118" t="s">
        <v>564</v>
      </c>
      <c r="J118"/>
      <c r="K118"/>
      <c r="L118"/>
      <c r="M118"/>
      <c r="N118"/>
      <c r="O118"/>
      <c r="P118"/>
      <c r="Q118" s="209">
        <v>4.353</v>
      </c>
      <c r="R118" s="209">
        <v>0.9146</v>
      </c>
      <c r="S118">
        <f t="shared" si="10"/>
        <v>2.4604091781876125</v>
      </c>
      <c r="T118">
        <f t="shared" si="11"/>
        <v>0.39100733842519386</v>
      </c>
      <c r="U118"/>
      <c r="V118"/>
      <c r="W118"/>
    </row>
    <row r="119" spans="1:23" ht="12.75">
      <c r="A119" t="s">
        <v>139</v>
      </c>
      <c r="B119" t="s">
        <v>139</v>
      </c>
      <c r="C119"/>
      <c r="D119"/>
      <c r="E119"/>
      <c r="F119"/>
      <c r="G119"/>
      <c r="H119"/>
      <c r="I119" s="208">
        <f>I114/I112</f>
        <v>0.13092944232546164</v>
      </c>
      <c r="J119"/>
      <c r="K119"/>
      <c r="L119"/>
      <c r="M119"/>
      <c r="N119"/>
      <c r="O119"/>
      <c r="P119"/>
      <c r="Q119" s="209">
        <v>4.753</v>
      </c>
      <c r="R119" s="209">
        <v>0.9221</v>
      </c>
      <c r="S119">
        <f t="shared" si="10"/>
        <v>2.552329326105435</v>
      </c>
      <c r="T119">
        <f t="shared" si="11"/>
        <v>0.406936710520418</v>
      </c>
      <c r="U119"/>
      <c r="V119"/>
      <c r="W119"/>
    </row>
    <row r="120" spans="1:23" ht="12.75">
      <c r="A120" s="210">
        <f>MEDIAN(A97:A112)</f>
        <v>0.16895</v>
      </c>
      <c r="B120" s="210">
        <f>MEDIAN(B97:B112)</f>
        <v>0.21647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209">
        <v>4.888</v>
      </c>
      <c r="R120" s="209">
        <v>0.7902</v>
      </c>
      <c r="S120">
        <f t="shared" si="10"/>
        <v>1.5616005830199404</v>
      </c>
      <c r="T120">
        <f t="shared" si="11"/>
        <v>0.1935699624654801</v>
      </c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209">
        <v>5.037</v>
      </c>
      <c r="R121" s="209">
        <v>0.6932</v>
      </c>
      <c r="S121">
        <f t="shared" si="10"/>
        <v>1.1815592094890361</v>
      </c>
      <c r="T121">
        <f t="shared" si="11"/>
        <v>0.07245548958249179</v>
      </c>
      <c r="U121"/>
      <c r="V121"/>
      <c r="W121"/>
    </row>
    <row r="122" spans="1:23" ht="12.75">
      <c r="A122" t="s">
        <v>564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209">
        <v>5.042</v>
      </c>
      <c r="R122" s="209">
        <v>0.7126</v>
      </c>
      <c r="S122">
        <f t="shared" si="10"/>
        <v>1.2468803053372126</v>
      </c>
      <c r="T122">
        <f t="shared" si="11"/>
        <v>0.09582476524555847</v>
      </c>
      <c r="U122"/>
      <c r="V122"/>
      <c r="W122"/>
    </row>
    <row r="123" spans="1:23" ht="12.75">
      <c r="A123" s="208">
        <f>A118/A116</f>
        <v>0.1888501917763322</v>
      </c>
      <c r="B123" s="208"/>
      <c r="C123" s="209"/>
      <c r="D123" s="209"/>
      <c r="E123" s="209"/>
      <c r="F123" s="209"/>
      <c r="G123" s="209"/>
      <c r="H123"/>
      <c r="I123"/>
      <c r="J123"/>
      <c r="K123"/>
      <c r="L123"/>
      <c r="M123"/>
      <c r="N123"/>
      <c r="O123"/>
      <c r="P123"/>
      <c r="Q123" s="209">
        <v>5.149</v>
      </c>
      <c r="R123" s="209">
        <v>0.7823</v>
      </c>
      <c r="S123">
        <f t="shared" si="10"/>
        <v>1.5246373107416353</v>
      </c>
      <c r="T123">
        <f t="shared" si="11"/>
        <v>0.18316654356659662</v>
      </c>
      <c r="U123"/>
      <c r="V123"/>
      <c r="W123"/>
    </row>
    <row r="124" spans="1:23" ht="12.75">
      <c r="A124" s="209"/>
      <c r="B124" s="209"/>
      <c r="C124" s="209"/>
      <c r="D124" s="209"/>
      <c r="E124" s="209"/>
      <c r="F124" s="209"/>
      <c r="G124" s="209"/>
      <c r="H124"/>
      <c r="I124"/>
      <c r="J124"/>
      <c r="K124"/>
      <c r="L124"/>
      <c r="M124"/>
      <c r="N124"/>
      <c r="O124"/>
      <c r="P124"/>
      <c r="Q124" s="209">
        <v>5.16</v>
      </c>
      <c r="R124" s="209">
        <v>0.825</v>
      </c>
      <c r="S124">
        <f t="shared" si="10"/>
        <v>1.7429693050586228</v>
      </c>
      <c r="T124">
        <f t="shared" si="11"/>
        <v>0.24128973893957267</v>
      </c>
      <c r="U124"/>
      <c r="V124"/>
      <c r="W124"/>
    </row>
    <row r="125" spans="1:23" ht="12.75">
      <c r="A125" s="209"/>
      <c r="B125" s="209"/>
      <c r="C125" s="209"/>
      <c r="D125" s="209"/>
      <c r="E125" s="209"/>
      <c r="F125" s="209"/>
      <c r="G125" s="209"/>
      <c r="H125"/>
      <c r="I125"/>
      <c r="J125"/>
      <c r="K125"/>
      <c r="L125"/>
      <c r="M125"/>
      <c r="N125"/>
      <c r="O125"/>
      <c r="P125"/>
      <c r="Q125" s="209">
        <v>6.335</v>
      </c>
      <c r="R125" s="209">
        <v>0.7353</v>
      </c>
      <c r="S125">
        <f t="shared" si="10"/>
        <v>1.3291581697490813</v>
      </c>
      <c r="T125">
        <f t="shared" si="11"/>
        <v>0.12357666503745056</v>
      </c>
      <c r="U125"/>
      <c r="V125"/>
      <c r="W125"/>
    </row>
    <row r="126" spans="1:23" ht="12.75">
      <c r="A126" s="209"/>
      <c r="B126" s="209"/>
      <c r="C126" s="209"/>
      <c r="D126" s="209"/>
      <c r="E126" s="209"/>
      <c r="F126" s="209"/>
      <c r="G126" s="209"/>
      <c r="H126"/>
      <c r="I126"/>
      <c r="J126"/>
      <c r="K126"/>
      <c r="L126"/>
      <c r="M126"/>
      <c r="N126"/>
      <c r="O126"/>
      <c r="P126"/>
      <c r="Q126" s="209">
        <v>6.355</v>
      </c>
      <c r="R126" s="209">
        <v>0.7973</v>
      </c>
      <c r="S126">
        <f t="shared" si="10"/>
        <v>1.5960282255241827</v>
      </c>
      <c r="T126">
        <f t="shared" si="11"/>
        <v>0.20304056751659572</v>
      </c>
      <c r="U126"/>
      <c r="V126"/>
      <c r="W126"/>
    </row>
    <row r="127" spans="1:23" ht="12.75">
      <c r="A127" s="209"/>
      <c r="B127" s="209"/>
      <c r="C127" s="209"/>
      <c r="D127" s="209"/>
      <c r="E127" s="209"/>
      <c r="F127" s="209"/>
      <c r="G127" s="209"/>
      <c r="H127"/>
      <c r="I127"/>
      <c r="J127"/>
      <c r="K127"/>
      <c r="L127"/>
      <c r="M127"/>
      <c r="N127"/>
      <c r="O127"/>
      <c r="P127"/>
      <c r="Q127" s="209">
        <v>6.476</v>
      </c>
      <c r="R127" s="209">
        <v>0.8244</v>
      </c>
      <c r="S127">
        <f t="shared" si="10"/>
        <v>1.7395465977811209</v>
      </c>
      <c r="T127">
        <f t="shared" si="11"/>
        <v>0.24043606682212898</v>
      </c>
      <c r="U127"/>
      <c r="V127"/>
      <c r="W127"/>
    </row>
    <row r="128" spans="1:23" ht="12.75">
      <c r="A128" s="209"/>
      <c r="B128" s="209"/>
      <c r="C128" s="209"/>
      <c r="D128" s="209"/>
      <c r="E128" s="209"/>
      <c r="F128" s="209"/>
      <c r="G128" s="209"/>
      <c r="H128"/>
      <c r="I128"/>
      <c r="J128"/>
      <c r="K128"/>
      <c r="L128"/>
      <c r="M128"/>
      <c r="N128"/>
      <c r="O128"/>
      <c r="P128"/>
      <c r="Q128" s="209">
        <v>7.176</v>
      </c>
      <c r="R128" s="209">
        <v>0.7815</v>
      </c>
      <c r="S128">
        <f t="shared" si="10"/>
        <v>1.520969264446492</v>
      </c>
      <c r="T128">
        <f t="shared" si="11"/>
        <v>0.18212043797400035</v>
      </c>
      <c r="U128"/>
      <c r="V128"/>
      <c r="W128"/>
    </row>
    <row r="129" spans="1:23" ht="12.75">
      <c r="A129" s="209"/>
      <c r="B129" s="209"/>
      <c r="C129" s="209"/>
      <c r="D129" s="209"/>
      <c r="E129" s="209"/>
      <c r="F129" s="209"/>
      <c r="G129" s="209"/>
      <c r="H129"/>
      <c r="I129"/>
      <c r="J129"/>
      <c r="K129"/>
      <c r="L129"/>
      <c r="M129"/>
      <c r="N129"/>
      <c r="O129"/>
      <c r="P129"/>
      <c r="Q129" s="209">
        <v>7.198</v>
      </c>
      <c r="R129" s="209">
        <v>0.8396</v>
      </c>
      <c r="S129">
        <f t="shared" si="10"/>
        <v>1.830084583549723</v>
      </c>
      <c r="T129">
        <f t="shared" si="11"/>
        <v>0.26247116258288544</v>
      </c>
      <c r="U129"/>
      <c r="V129"/>
      <c r="W129"/>
    </row>
    <row r="130" spans="1:23" ht="12.75">
      <c r="A130" s="209"/>
      <c r="B130" s="209"/>
      <c r="C130" s="209"/>
      <c r="D130" s="209"/>
      <c r="E130" s="209"/>
      <c r="F130" s="209"/>
      <c r="G130" s="209"/>
      <c r="H130"/>
      <c r="I130"/>
      <c r="J130"/>
      <c r="K130"/>
      <c r="L130"/>
      <c r="M130"/>
      <c r="N130"/>
      <c r="O130"/>
      <c r="P130"/>
      <c r="Q130" t="s">
        <v>598</v>
      </c>
      <c r="R130" t="s">
        <v>598</v>
      </c>
      <c r="S130"/>
      <c r="T130" s="178">
        <f>STDEV(T97:T129)</f>
        <v>0.10020304014510978</v>
      </c>
      <c r="U130"/>
      <c r="V130"/>
      <c r="W130"/>
    </row>
    <row r="131" spans="1:23" ht="12.75">
      <c r="A131" s="209"/>
      <c r="B131" s="209"/>
      <c r="C131" s="209"/>
      <c r="D131" s="209"/>
      <c r="E131" s="209"/>
      <c r="F131" s="209"/>
      <c r="G131" s="209"/>
      <c r="H131"/>
      <c r="I131"/>
      <c r="J131"/>
      <c r="K131"/>
      <c r="L131"/>
      <c r="M131"/>
      <c r="N131"/>
      <c r="O131"/>
      <c r="P131"/>
      <c r="Q131" s="210">
        <f>AVERAGE(Q97:Q129)</f>
        <v>4.34660606060606</v>
      </c>
      <c r="R131" s="210">
        <f>AVERAGE(R97:R129)</f>
        <v>0.8080090909090909</v>
      </c>
      <c r="S131"/>
      <c r="T131"/>
      <c r="U131"/>
      <c r="V131"/>
      <c r="W131"/>
    </row>
    <row r="132" spans="1:23" ht="12.75">
      <c r="A132" s="209"/>
      <c r="B132" s="209"/>
      <c r="C132" s="209"/>
      <c r="D132" s="209"/>
      <c r="E132" s="209"/>
      <c r="F132" s="209"/>
      <c r="G132" s="209"/>
      <c r="H132"/>
      <c r="I132"/>
      <c r="J132"/>
      <c r="K132"/>
      <c r="L132"/>
      <c r="M132"/>
      <c r="N132"/>
      <c r="O132"/>
      <c r="P132"/>
      <c r="Q132" t="s">
        <v>170</v>
      </c>
      <c r="R132" t="s">
        <v>170</v>
      </c>
      <c r="S132"/>
      <c r="T132"/>
      <c r="U132"/>
      <c r="V132"/>
      <c r="W132"/>
    </row>
    <row r="133" spans="1:23" ht="12.75">
      <c r="A133" s="209"/>
      <c r="B133" s="209"/>
      <c r="C133" s="209"/>
      <c r="D133" s="209"/>
      <c r="E133" s="209"/>
      <c r="F133" s="209"/>
      <c r="G133" s="209"/>
      <c r="H133"/>
      <c r="I133"/>
      <c r="J133"/>
      <c r="K133"/>
      <c r="L133"/>
      <c r="M133"/>
      <c r="N133"/>
      <c r="O133"/>
      <c r="P133"/>
      <c r="Q133" s="3">
        <f>STDEV(Q97:Q129)</f>
        <v>1.2623230306510784</v>
      </c>
      <c r="R133" s="3">
        <f>STDEV(R97:R129)</f>
        <v>0.07224963392483486</v>
      </c>
      <c r="S133"/>
      <c r="T133"/>
      <c r="U133"/>
      <c r="V133"/>
      <c r="W133"/>
    </row>
    <row r="134" spans="1:23" ht="12.75">
      <c r="A134" s="209"/>
      <c r="B134" s="209"/>
      <c r="C134" s="209"/>
      <c r="D134" s="209"/>
      <c r="E134" s="209"/>
      <c r="F134" s="209"/>
      <c r="G134" s="209"/>
      <c r="H134"/>
      <c r="I134"/>
      <c r="J134"/>
      <c r="K134"/>
      <c r="L134"/>
      <c r="M134"/>
      <c r="N134"/>
      <c r="O134"/>
      <c r="P134"/>
      <c r="Q134" t="s">
        <v>139</v>
      </c>
      <c r="R134" t="s">
        <v>139</v>
      </c>
      <c r="S134"/>
      <c r="T134"/>
      <c r="U134"/>
      <c r="V134"/>
      <c r="W134"/>
    </row>
    <row r="135" spans="1:23" ht="12.75">
      <c r="A135" s="209"/>
      <c r="B135" s="209"/>
      <c r="C135" s="209"/>
      <c r="D135" s="209"/>
      <c r="E135" s="209"/>
      <c r="F135" s="209"/>
      <c r="G135" s="209"/>
      <c r="H135"/>
      <c r="I135"/>
      <c r="J135"/>
      <c r="K135"/>
      <c r="L135"/>
      <c r="M135"/>
      <c r="N135"/>
      <c r="O135"/>
      <c r="P135"/>
      <c r="Q135" s="210">
        <f>MEDIAN(Q97:Q129)</f>
        <v>4.174</v>
      </c>
      <c r="R135" s="210">
        <f>MEDIAN(R97:R129)</f>
        <v>0.8186</v>
      </c>
      <c r="S135"/>
      <c r="T135"/>
      <c r="U135"/>
      <c r="V135"/>
      <c r="W135"/>
    </row>
    <row r="136" spans="1:23" ht="12.75">
      <c r="A136" s="209"/>
      <c r="B136" s="209"/>
      <c r="C136" s="209"/>
      <c r="D136" s="209"/>
      <c r="E136" s="209"/>
      <c r="F136" s="209"/>
      <c r="G136" s="209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 s="209"/>
      <c r="B137" s="209"/>
      <c r="C137" s="209"/>
      <c r="D137" s="209"/>
      <c r="E137" s="209"/>
      <c r="F137" s="209"/>
      <c r="G137" s="209"/>
      <c r="H137"/>
      <c r="I137"/>
      <c r="J137"/>
      <c r="K137"/>
      <c r="L137"/>
      <c r="M137"/>
      <c r="N137"/>
      <c r="O137"/>
      <c r="P137"/>
      <c r="Q137" t="s">
        <v>564</v>
      </c>
      <c r="R137"/>
      <c r="S137"/>
      <c r="T137"/>
      <c r="U137"/>
      <c r="V137"/>
      <c r="W137"/>
    </row>
    <row r="138" spans="1:23" ht="12.75">
      <c r="A138" s="209"/>
      <c r="B138" s="209"/>
      <c r="C138" s="209"/>
      <c r="D138" s="209"/>
      <c r="E138" s="209"/>
      <c r="F138" s="209"/>
      <c r="G138" s="209"/>
      <c r="H138"/>
      <c r="I138"/>
      <c r="J138"/>
      <c r="K138"/>
      <c r="L138"/>
      <c r="M138"/>
      <c r="N138"/>
      <c r="O138"/>
      <c r="P138"/>
      <c r="Q138" s="208">
        <f>Q133/Q131</f>
        <v>0.29041578948037194</v>
      </c>
      <c r="R138"/>
      <c r="S138"/>
      <c r="T138"/>
      <c r="U138"/>
      <c r="V138"/>
      <c r="W138"/>
    </row>
    <row r="139" spans="1:23" ht="12.75">
      <c r="A139" s="209"/>
      <c r="B139" s="209"/>
      <c r="C139" s="209"/>
      <c r="D139" s="209"/>
      <c r="E139" s="209"/>
      <c r="F139" s="209"/>
      <c r="G139" s="20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Goble</dc:creator>
  <cp:keywords/>
  <dc:description/>
  <cp:lastModifiedBy>Rob Goble</cp:lastModifiedBy>
  <dcterms:created xsi:type="dcterms:W3CDTF">1999-09-10T12:07:56Z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